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L:\KLIENTSKÉ\MČP8\2410_EPC\Průběh VZ\Nové podklady_Kaščák_1.4.2025\"/>
    </mc:Choice>
  </mc:AlternateContent>
  <xr:revisionPtr revIDLastSave="0" documentId="13_ncr:1_{2E3F7180-C58C-4C40-9133-B04117DE77FA}" xr6:coauthVersionLast="47" xr6:coauthVersionMax="47" xr10:uidLastSave="{00000000-0000-0000-0000-000000000000}"/>
  <bookViews>
    <workbookView xWindow="4290" yWindow="0" windowWidth="21600" windowHeight="25200" xr2:uid="{9EF0EFD5-AA23-4180-88FF-61F67FE9F7CF}"/>
  </bookViews>
  <sheets>
    <sheet name="Spotřeby 23-24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3" i="2" l="1"/>
  <c r="U45" i="2"/>
  <c r="U52" i="2"/>
  <c r="N53" i="2"/>
  <c r="I47" i="2"/>
  <c r="R4" i="2"/>
  <c r="R9" i="2"/>
  <c r="R16" i="2"/>
  <c r="R21" i="2"/>
  <c r="AB54" i="2" l="1"/>
  <c r="AB53" i="2"/>
  <c r="AB52" i="2"/>
  <c r="AB51" i="2"/>
  <c r="X51" i="2"/>
  <c r="W51" i="2"/>
  <c r="AB50" i="2"/>
  <c r="AB49" i="2"/>
  <c r="AB48" i="2"/>
  <c r="AB47" i="2"/>
  <c r="AB46" i="2"/>
  <c r="AB45" i="2"/>
  <c r="AB44" i="2"/>
  <c r="AB43" i="2"/>
  <c r="AA42" i="2"/>
  <c r="AB42" i="2" s="1"/>
  <c r="Z42" i="2"/>
  <c r="AA41" i="2"/>
  <c r="AB41" i="2" s="1"/>
  <c r="AB40" i="2"/>
  <c r="AB39" i="2"/>
  <c r="AB38" i="2"/>
  <c r="AB37" i="2"/>
  <c r="AB36" i="2"/>
  <c r="AB35" i="2"/>
  <c r="AB34" i="2"/>
  <c r="AB33" i="2"/>
  <c r="AB32" i="2"/>
  <c r="AB31" i="2"/>
  <c r="U54" i="2"/>
  <c r="U53" i="2"/>
  <c r="U51" i="2"/>
  <c r="Q49" i="2"/>
  <c r="P49" i="2"/>
  <c r="U47" i="2"/>
  <c r="U46" i="2"/>
  <c r="U44" i="2"/>
  <c r="U43" i="2"/>
  <c r="Q43" i="2"/>
  <c r="R43" i="2" s="1"/>
  <c r="P43" i="2"/>
  <c r="U42" i="2"/>
  <c r="U41" i="2"/>
  <c r="U40" i="2"/>
  <c r="Q37" i="2"/>
  <c r="R37" i="2" s="1"/>
  <c r="P37" i="2"/>
  <c r="U35" i="2"/>
  <c r="U34" i="2"/>
  <c r="U32" i="2"/>
  <c r="U31" i="2"/>
  <c r="Q31" i="2"/>
  <c r="R31" i="2" s="1"/>
  <c r="P31" i="2"/>
  <c r="N54" i="2"/>
  <c r="N52" i="2"/>
  <c r="N51" i="2"/>
  <c r="N47" i="2"/>
  <c r="J47" i="2"/>
  <c r="N46" i="2"/>
  <c r="N45" i="2"/>
  <c r="N44" i="2"/>
  <c r="N43" i="2"/>
  <c r="J43" i="2"/>
  <c r="I43" i="2"/>
  <c r="N42" i="2"/>
  <c r="N41" i="2"/>
  <c r="N40" i="2"/>
  <c r="N35" i="2"/>
  <c r="J35" i="2"/>
  <c r="K35" i="2" s="1"/>
  <c r="N34" i="2"/>
  <c r="N33" i="2"/>
  <c r="N32" i="2"/>
  <c r="N31" i="2"/>
  <c r="J31" i="2"/>
  <c r="I31" i="2"/>
  <c r="G54" i="2"/>
  <c r="G53" i="2"/>
  <c r="G52" i="2"/>
  <c r="G51" i="2"/>
  <c r="G47" i="2"/>
  <c r="C47" i="2"/>
  <c r="B47" i="2"/>
  <c r="G46" i="2"/>
  <c r="G45" i="2"/>
  <c r="G44" i="2"/>
  <c r="G43" i="2"/>
  <c r="C43" i="2"/>
  <c r="D43" i="2" s="1"/>
  <c r="B43" i="2"/>
  <c r="G42" i="2"/>
  <c r="G41" i="2"/>
  <c r="G40" i="2"/>
  <c r="G35" i="2"/>
  <c r="B35" i="2"/>
  <c r="D35" i="2" s="1"/>
  <c r="G34" i="2"/>
  <c r="G33" i="2"/>
  <c r="G32" i="2"/>
  <c r="G31" i="2"/>
  <c r="C31" i="2"/>
  <c r="B31" i="2"/>
  <c r="Q21" i="2"/>
  <c r="P21" i="2"/>
  <c r="Q16" i="2"/>
  <c r="P16" i="2"/>
  <c r="Q9" i="2"/>
  <c r="P9" i="2"/>
  <c r="Q4" i="2"/>
  <c r="P4" i="2"/>
  <c r="E26" i="2"/>
  <c r="G26" i="2" s="1"/>
  <c r="F25" i="2"/>
  <c r="G25" i="2" s="1"/>
  <c r="G18" i="2"/>
  <c r="G19" i="2"/>
  <c r="G20" i="2"/>
  <c r="G24" i="2"/>
  <c r="G27" i="2"/>
  <c r="F18" i="2"/>
  <c r="F17" i="2"/>
  <c r="G17" i="2"/>
  <c r="F16" i="2"/>
  <c r="G16" i="2" s="1"/>
  <c r="F15" i="2"/>
  <c r="G15" i="2" s="1"/>
  <c r="E8" i="2"/>
  <c r="F8" i="2"/>
  <c r="F6" i="2"/>
  <c r="G6" i="2" s="1"/>
  <c r="G5" i="2"/>
  <c r="G7" i="2"/>
  <c r="G13" i="2"/>
  <c r="G14" i="2"/>
  <c r="D4" i="2"/>
  <c r="C4" i="2" s="1"/>
  <c r="G4" i="2"/>
  <c r="C9" i="2"/>
  <c r="C16" i="2"/>
  <c r="B16" i="2"/>
  <c r="D47" i="2" l="1"/>
  <c r="K47" i="2"/>
  <c r="R49" i="2"/>
  <c r="G8" i="2"/>
  <c r="D31" i="2"/>
  <c r="Y51" i="2"/>
  <c r="K31" i="2"/>
  <c r="K43" i="2"/>
  <c r="D16" i="2" l="1"/>
</calcChain>
</file>

<file path=xl/sharedStrings.xml><?xml version="1.0" encoding="utf-8"?>
<sst xmlns="http://schemas.openxmlformats.org/spreadsheetml/2006/main" count="602" uniqueCount="40">
  <si>
    <t>Elektřina</t>
  </si>
  <si>
    <t>Teplo</t>
  </si>
  <si>
    <t>ZŠ U Školské zahrady</t>
  </si>
  <si>
    <t>MŠ U Školské zahrady</t>
  </si>
  <si>
    <t>KD Krakov</t>
  </si>
  <si>
    <t>MŠ Šimůnkova</t>
  </si>
  <si>
    <t>Období</t>
  </si>
  <si>
    <t>Spotřeba EE v MWh</t>
  </si>
  <si>
    <t>Cena</t>
  </si>
  <si>
    <t>Cena za MWh</t>
  </si>
  <si>
    <t>1 2023</t>
  </si>
  <si>
    <t>2 2023</t>
  </si>
  <si>
    <t>3 2023</t>
  </si>
  <si>
    <t>4 2023</t>
  </si>
  <si>
    <t>5 2023</t>
  </si>
  <si>
    <t>6 2023</t>
  </si>
  <si>
    <t>7 2023</t>
  </si>
  <si>
    <t>8 2023</t>
  </si>
  <si>
    <t>9 2023</t>
  </si>
  <si>
    <t>10 2023</t>
  </si>
  <si>
    <t>11 2023</t>
  </si>
  <si>
    <t>12 2023</t>
  </si>
  <si>
    <t>1 2024</t>
  </si>
  <si>
    <t>2 2024</t>
  </si>
  <si>
    <t>3 2024</t>
  </si>
  <si>
    <t>4 2024</t>
  </si>
  <si>
    <t>5 2024</t>
  </si>
  <si>
    <t>6 2024</t>
  </si>
  <si>
    <t>7 2024</t>
  </si>
  <si>
    <t>8 2024</t>
  </si>
  <si>
    <t>9 2024</t>
  </si>
  <si>
    <t>10 2024</t>
  </si>
  <si>
    <t>11 2024</t>
  </si>
  <si>
    <t>12 2024</t>
  </si>
  <si>
    <t>Spotřeba tepla v MWh</t>
  </si>
  <si>
    <t>-</t>
  </si>
  <si>
    <t>MŠ Poznaňská</t>
  </si>
  <si>
    <t>MŠ Koryčanská</t>
  </si>
  <si>
    <t>ZŠ Koryčanská</t>
  </si>
  <si>
    <t>MŠ Štěpnická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</si>
</sst>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43" fontId="0" fillId="2" borderId="5" xfId="1" applyFont="1" applyFill="1" applyBorder="1" applyAlignment="1">
      <alignment horizontal="right" vertical="center"/>
    </xf>
    <xf numFmtId="0" fontId="3" fillId="0" borderId="0" xfId="0" applyFont="1"/>
    <xf numFmtId="0" fontId="0" fillId="3" borderId="11" xfId="0" applyFill="1" applyBorder="1"/>
    <xf numFmtId="43" fontId="0" fillId="2" borderId="5" xfId="1" applyFont="1" applyFill="1" applyBorder="1" applyAlignment="1">
      <alignment horizontal="center" vertical="center"/>
    </xf>
    <xf numFmtId="43" fontId="0" fillId="4" borderId="5" xfId="1" applyFont="1" applyFill="1" applyBorder="1" applyAlignment="1">
      <alignment horizontal="right" vertical="center"/>
    </xf>
    <xf numFmtId="43" fontId="0" fillId="4" borderId="12" xfId="1" applyFont="1" applyFill="1" applyBorder="1" applyAlignment="1">
      <alignment horizontal="right" vertical="center"/>
    </xf>
    <xf numFmtId="43" fontId="0" fillId="4" borderId="2" xfId="1" applyFont="1" applyFill="1" applyBorder="1" applyAlignment="1">
      <alignment horizontal="right" vertical="center"/>
    </xf>
    <xf numFmtId="43" fontId="0" fillId="4" borderId="3" xfId="1" applyFont="1" applyFill="1" applyBorder="1" applyAlignment="1">
      <alignment horizontal="right" vertical="center"/>
    </xf>
    <xf numFmtId="2" fontId="0" fillId="4" borderId="12" xfId="1" applyNumberFormat="1" applyFont="1" applyFill="1" applyBorder="1" applyAlignment="1">
      <alignment horizontal="right"/>
    </xf>
    <xf numFmtId="2" fontId="0" fillId="4" borderId="3" xfId="1" applyNumberFormat="1" applyFont="1" applyFill="1" applyBorder="1" applyAlignment="1">
      <alignment horizontal="right"/>
    </xf>
    <xf numFmtId="49" fontId="0" fillId="3" borderId="13" xfId="0" applyNumberFormat="1" applyFill="1" applyBorder="1" applyAlignment="1">
      <alignment horizontal="right"/>
    </xf>
    <xf numFmtId="2" fontId="0" fillId="4" borderId="5" xfId="1" applyNumberFormat="1" applyFont="1" applyFill="1" applyBorder="1" applyAlignment="1">
      <alignment horizontal="right" vertical="center"/>
    </xf>
    <xf numFmtId="2" fontId="0" fillId="4" borderId="12" xfId="1" applyNumberFormat="1" applyFont="1" applyFill="1" applyBorder="1" applyAlignment="1">
      <alignment horizontal="right" vertical="center"/>
    </xf>
    <xf numFmtId="43" fontId="0" fillId="4" borderId="5" xfId="1" applyFont="1" applyFill="1" applyBorder="1" applyAlignment="1">
      <alignment horizontal="right"/>
    </xf>
    <xf numFmtId="43" fontId="0" fillId="4" borderId="12" xfId="1" applyFont="1" applyFill="1" applyBorder="1" applyAlignment="1">
      <alignment horizontal="right"/>
    </xf>
    <xf numFmtId="0" fontId="0" fillId="0" borderId="0" xfId="0" applyAlignment="1">
      <alignment horizontal="right"/>
    </xf>
    <xf numFmtId="2" fontId="0" fillId="4" borderId="5" xfId="0" applyNumberFormat="1" applyFill="1" applyBorder="1" applyAlignment="1">
      <alignment horizontal="right"/>
    </xf>
    <xf numFmtId="49" fontId="0" fillId="3" borderId="1" xfId="0" applyNumberFormat="1" applyFill="1" applyBorder="1" applyAlignment="1">
      <alignment horizontal="right"/>
    </xf>
    <xf numFmtId="2" fontId="0" fillId="4" borderId="2" xfId="0" applyNumberFormat="1" applyFill="1" applyBorder="1" applyAlignment="1">
      <alignment horizontal="right"/>
    </xf>
    <xf numFmtId="43" fontId="0" fillId="4" borderId="2" xfId="1" applyFont="1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164" fontId="0" fillId="4" borderId="5" xfId="1" applyNumberFormat="1" applyFont="1" applyFill="1" applyBorder="1" applyAlignment="1">
      <alignment horizontal="right"/>
    </xf>
    <xf numFmtId="43" fontId="0" fillId="4" borderId="3" xfId="1" applyFont="1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164" fontId="0" fillId="4" borderId="2" xfId="1" applyNumberFormat="1" applyFont="1" applyFill="1" applyBorder="1" applyAlignment="1">
      <alignment horizontal="right"/>
    </xf>
    <xf numFmtId="0" fontId="0" fillId="2" borderId="5" xfId="0" applyFill="1" applyBorder="1" applyAlignment="1">
      <alignment horizontal="center"/>
    </xf>
    <xf numFmtId="43" fontId="0" fillId="4" borderId="5" xfId="1" applyFont="1" applyFill="1" applyBorder="1" applyAlignment="1">
      <alignment horizontal="center" vertical="center"/>
    </xf>
    <xf numFmtId="43" fontId="0" fillId="4" borderId="12" xfId="1" applyFont="1" applyFill="1" applyBorder="1" applyAlignment="1">
      <alignment horizontal="center" vertical="center"/>
    </xf>
    <xf numFmtId="43" fontId="0" fillId="4" borderId="2" xfId="1" applyFont="1" applyFill="1" applyBorder="1" applyAlignment="1">
      <alignment horizontal="center" vertical="center"/>
    </xf>
    <xf numFmtId="43" fontId="0" fillId="4" borderId="3" xfId="1" applyFont="1" applyFill="1" applyBorder="1" applyAlignment="1">
      <alignment horizontal="center" vertical="center"/>
    </xf>
    <xf numFmtId="0" fontId="3" fillId="3" borderId="13" xfId="0" applyFont="1" applyFill="1" applyBorder="1"/>
    <xf numFmtId="0" fontId="3" fillId="2" borderId="7" xfId="0" applyFont="1" applyFill="1" applyBorder="1" applyAlignment="1">
      <alignment wrapText="1"/>
    </xf>
    <xf numFmtId="0" fontId="3" fillId="4" borderId="7" xfId="0" applyFont="1" applyFill="1" applyBorder="1" applyAlignment="1">
      <alignment wrapText="1"/>
    </xf>
    <xf numFmtId="0" fontId="3" fillId="4" borderId="14" xfId="0" applyFont="1" applyFill="1" applyBorder="1" applyAlignment="1">
      <alignment wrapText="1"/>
    </xf>
    <xf numFmtId="43" fontId="0" fillId="2" borderId="4" xfId="1" applyFont="1" applyFill="1" applyBorder="1" applyAlignment="1">
      <alignment horizontal="right" vertical="center"/>
    </xf>
    <xf numFmtId="43" fontId="0" fillId="2" borderId="6" xfId="1" applyFont="1" applyFill="1" applyBorder="1" applyAlignment="1">
      <alignment horizontal="right" vertical="center"/>
    </xf>
    <xf numFmtId="43" fontId="0" fillId="2" borderId="7" xfId="1" applyFont="1" applyFill="1" applyBorder="1" applyAlignment="1">
      <alignment horizontal="right" vertical="center"/>
    </xf>
    <xf numFmtId="43" fontId="0" fillId="2" borderId="4" xfId="1" applyFont="1" applyFill="1" applyBorder="1" applyAlignment="1">
      <alignment horizontal="center" vertical="center"/>
    </xf>
    <xf numFmtId="43" fontId="0" fillId="2" borderId="6" xfId="1" applyFont="1" applyFill="1" applyBorder="1" applyAlignment="1">
      <alignment horizontal="center" vertical="center"/>
    </xf>
    <xf numFmtId="43" fontId="0" fillId="2" borderId="7" xfId="1" applyFont="1" applyFill="1" applyBorder="1" applyAlignment="1">
      <alignment horizontal="center" vertical="center"/>
    </xf>
    <xf numFmtId="43" fontId="0" fillId="2" borderId="15" xfId="1" applyFont="1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15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3" fillId="2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164" fontId="0" fillId="2" borderId="4" xfId="1" applyNumberFormat="1" applyFont="1" applyFill="1" applyBorder="1" applyAlignment="1">
      <alignment horizontal="right" vertical="center"/>
    </xf>
    <xf numFmtId="164" fontId="0" fillId="2" borderId="6" xfId="1" applyNumberFormat="1" applyFont="1" applyFill="1" applyBorder="1" applyAlignment="1">
      <alignment horizontal="right" vertical="center"/>
    </xf>
    <xf numFmtId="164" fontId="0" fillId="2" borderId="7" xfId="1" applyNumberFormat="1" applyFont="1" applyFill="1" applyBorder="1" applyAlignment="1">
      <alignment horizontal="right" vertical="center"/>
    </xf>
    <xf numFmtId="164" fontId="0" fillId="2" borderId="4" xfId="0" applyNumberFormat="1" applyFill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6D5B9-72F4-423B-B742-EBA441A55C74}">
  <dimension ref="A1:AB54"/>
  <sheetViews>
    <sheetView tabSelected="1" zoomScale="70" zoomScaleNormal="70" workbookViewId="0">
      <selection activeCell="B21" sqref="B21:B27"/>
    </sheetView>
  </sheetViews>
  <sheetFormatPr defaultRowHeight="15" x14ac:dyDescent="0.25"/>
  <cols>
    <col min="1" max="28" width="12.85546875" customWidth="1"/>
  </cols>
  <sheetData>
    <row r="1" spans="1:28" x14ac:dyDescent="0.25">
      <c r="A1" s="49" t="s">
        <v>36</v>
      </c>
      <c r="B1" s="50"/>
      <c r="C1" s="50"/>
      <c r="D1" s="50"/>
      <c r="E1" s="50"/>
      <c r="F1" s="50"/>
      <c r="G1" s="51"/>
      <c r="H1" s="49" t="s">
        <v>2</v>
      </c>
      <c r="I1" s="50"/>
      <c r="J1" s="50"/>
      <c r="K1" s="50"/>
      <c r="L1" s="50"/>
      <c r="M1" s="50"/>
      <c r="N1" s="51"/>
      <c r="O1" s="49" t="s">
        <v>3</v>
      </c>
      <c r="P1" s="50"/>
      <c r="Q1" s="50"/>
      <c r="R1" s="50"/>
      <c r="S1" s="50"/>
      <c r="T1" s="50"/>
      <c r="U1" s="51"/>
      <c r="V1" s="49" t="s">
        <v>4</v>
      </c>
      <c r="W1" s="50"/>
      <c r="X1" s="50"/>
      <c r="Y1" s="50"/>
      <c r="Z1" s="50"/>
      <c r="AA1" s="50"/>
      <c r="AB1" s="51"/>
    </row>
    <row r="2" spans="1:28" x14ac:dyDescent="0.25">
      <c r="A2" s="3"/>
      <c r="B2" s="46" t="s">
        <v>0</v>
      </c>
      <c r="C2" s="46"/>
      <c r="D2" s="46"/>
      <c r="E2" s="47" t="s">
        <v>1</v>
      </c>
      <c r="F2" s="47"/>
      <c r="G2" s="48"/>
      <c r="H2" s="3"/>
      <c r="I2" s="46" t="s">
        <v>0</v>
      </c>
      <c r="J2" s="46"/>
      <c r="K2" s="46"/>
      <c r="L2" s="47" t="s">
        <v>1</v>
      </c>
      <c r="M2" s="47"/>
      <c r="N2" s="48"/>
      <c r="O2" s="3"/>
      <c r="P2" s="46" t="s">
        <v>0</v>
      </c>
      <c r="Q2" s="46"/>
      <c r="R2" s="46"/>
      <c r="S2" s="47" t="s">
        <v>1</v>
      </c>
      <c r="T2" s="47"/>
      <c r="U2" s="48"/>
      <c r="V2" s="3"/>
      <c r="W2" s="46" t="s">
        <v>0</v>
      </c>
      <c r="X2" s="46"/>
      <c r="Y2" s="46"/>
      <c r="Z2" s="47" t="s">
        <v>1</v>
      </c>
      <c r="AA2" s="47"/>
      <c r="AB2" s="48"/>
    </row>
    <row r="3" spans="1:28" s="2" customFormat="1" ht="30" x14ac:dyDescent="0.25">
      <c r="A3" s="31" t="s">
        <v>6</v>
      </c>
      <c r="B3" s="32" t="s">
        <v>7</v>
      </c>
      <c r="C3" s="32" t="s">
        <v>8</v>
      </c>
      <c r="D3" s="32" t="s">
        <v>9</v>
      </c>
      <c r="E3" s="33" t="s">
        <v>34</v>
      </c>
      <c r="F3" s="33" t="s">
        <v>8</v>
      </c>
      <c r="G3" s="34" t="s">
        <v>9</v>
      </c>
      <c r="H3" s="31" t="s">
        <v>6</v>
      </c>
      <c r="I3" s="32" t="s">
        <v>7</v>
      </c>
      <c r="J3" s="32" t="s">
        <v>8</v>
      </c>
      <c r="K3" s="32" t="s">
        <v>9</v>
      </c>
      <c r="L3" s="33" t="s">
        <v>34</v>
      </c>
      <c r="M3" s="33" t="s">
        <v>8</v>
      </c>
      <c r="N3" s="34" t="s">
        <v>9</v>
      </c>
      <c r="O3" s="31" t="s">
        <v>6</v>
      </c>
      <c r="P3" s="32" t="s">
        <v>7</v>
      </c>
      <c r="Q3" s="32" t="s">
        <v>8</v>
      </c>
      <c r="R3" s="32" t="s">
        <v>9</v>
      </c>
      <c r="S3" s="33" t="s">
        <v>34</v>
      </c>
      <c r="T3" s="33" t="s">
        <v>8</v>
      </c>
      <c r="U3" s="34" t="s">
        <v>9</v>
      </c>
      <c r="V3" s="31" t="s">
        <v>6</v>
      </c>
      <c r="W3" s="32" t="s">
        <v>7</v>
      </c>
      <c r="X3" s="32" t="s">
        <v>8</v>
      </c>
      <c r="Y3" s="32" t="s">
        <v>9</v>
      </c>
      <c r="Z3" s="33" t="s">
        <v>34</v>
      </c>
      <c r="AA3" s="33" t="s">
        <v>8</v>
      </c>
      <c r="AB3" s="34" t="s">
        <v>9</v>
      </c>
    </row>
    <row r="4" spans="1:28" s="16" customFormat="1" x14ac:dyDescent="0.25">
      <c r="A4" s="11" t="s">
        <v>10</v>
      </c>
      <c r="B4" s="42">
        <v>14.25</v>
      </c>
      <c r="C4" s="42">
        <f>B4*D4</f>
        <v>99137.25</v>
      </c>
      <c r="D4" s="42">
        <f>6957</f>
        <v>6957</v>
      </c>
      <c r="E4" s="12">
        <v>31.25</v>
      </c>
      <c r="F4" s="12">
        <v>145350</v>
      </c>
      <c r="G4" s="13">
        <f>F4/E4</f>
        <v>4651.2</v>
      </c>
      <c r="H4" s="11" t="s">
        <v>10</v>
      </c>
      <c r="I4" s="4">
        <v>6.89</v>
      </c>
      <c r="J4" s="35">
        <v>151204</v>
      </c>
      <c r="K4" s="35">
        <v>7738.1780962128969</v>
      </c>
      <c r="L4" s="27" t="s">
        <v>35</v>
      </c>
      <c r="M4" s="27" t="s">
        <v>35</v>
      </c>
      <c r="N4" s="28" t="s">
        <v>35</v>
      </c>
      <c r="O4" s="11" t="s">
        <v>10</v>
      </c>
      <c r="P4" s="35">
        <f>10.736</f>
        <v>10.736000000000001</v>
      </c>
      <c r="Q4" s="35">
        <f>68850</f>
        <v>68850</v>
      </c>
      <c r="R4" s="35">
        <f>Q4/P4</f>
        <v>6413.0029806259308</v>
      </c>
      <c r="S4" s="27" t="s">
        <v>35</v>
      </c>
      <c r="T4" s="27" t="s">
        <v>35</v>
      </c>
      <c r="U4" s="28" t="s">
        <v>35</v>
      </c>
      <c r="V4" s="11" t="s">
        <v>10</v>
      </c>
      <c r="W4" s="26" t="s">
        <v>35</v>
      </c>
      <c r="X4" s="26" t="s">
        <v>35</v>
      </c>
      <c r="Y4" s="26" t="s">
        <v>35</v>
      </c>
      <c r="Z4" s="14">
        <v>63.61</v>
      </c>
      <c r="AA4" s="14">
        <v>387512.12</v>
      </c>
      <c r="AB4" s="15">
        <v>6092</v>
      </c>
    </row>
    <row r="5" spans="1:28" s="16" customFormat="1" x14ac:dyDescent="0.25">
      <c r="A5" s="11" t="s">
        <v>11</v>
      </c>
      <c r="B5" s="43"/>
      <c r="C5" s="43"/>
      <c r="D5" s="43"/>
      <c r="E5" s="12">
        <v>29.038</v>
      </c>
      <c r="F5" s="12">
        <v>140700</v>
      </c>
      <c r="G5" s="13">
        <f t="shared" ref="G5:G27" si="0">F5/E5</f>
        <v>4845.3750258282253</v>
      </c>
      <c r="H5" s="11" t="s">
        <v>11</v>
      </c>
      <c r="I5" s="4">
        <v>5.55</v>
      </c>
      <c r="J5" s="36"/>
      <c r="K5" s="36"/>
      <c r="L5" s="27" t="s">
        <v>35</v>
      </c>
      <c r="M5" s="27" t="s">
        <v>35</v>
      </c>
      <c r="N5" s="28" t="s">
        <v>35</v>
      </c>
      <c r="O5" s="11" t="s">
        <v>11</v>
      </c>
      <c r="P5" s="36"/>
      <c r="Q5" s="36"/>
      <c r="R5" s="36"/>
      <c r="S5" s="27" t="s">
        <v>35</v>
      </c>
      <c r="T5" s="27" t="s">
        <v>35</v>
      </c>
      <c r="U5" s="28" t="s">
        <v>35</v>
      </c>
      <c r="V5" s="11" t="s">
        <v>11</v>
      </c>
      <c r="W5" s="26" t="s">
        <v>35</v>
      </c>
      <c r="X5" s="26" t="s">
        <v>35</v>
      </c>
      <c r="Y5" s="26" t="s">
        <v>35</v>
      </c>
      <c r="Z5" s="14">
        <v>58.88</v>
      </c>
      <c r="AA5" s="14">
        <v>358696.96000000002</v>
      </c>
      <c r="AB5" s="15">
        <v>6092</v>
      </c>
    </row>
    <row r="6" spans="1:28" s="16" customFormat="1" x14ac:dyDescent="0.25">
      <c r="A6" s="11" t="s">
        <v>12</v>
      </c>
      <c r="B6" s="43"/>
      <c r="C6" s="43"/>
      <c r="D6" s="43"/>
      <c r="E6" s="12">
        <v>25.611000000000001</v>
      </c>
      <c r="F6" s="12">
        <f>133248</f>
        <v>133248</v>
      </c>
      <c r="G6" s="13">
        <f t="shared" si="0"/>
        <v>5202.764437155909</v>
      </c>
      <c r="H6" s="11" t="s">
        <v>12</v>
      </c>
      <c r="I6" s="4">
        <v>7.1</v>
      </c>
      <c r="J6" s="37"/>
      <c r="K6" s="37"/>
      <c r="L6" s="27" t="s">
        <v>35</v>
      </c>
      <c r="M6" s="27" t="s">
        <v>35</v>
      </c>
      <c r="N6" s="28" t="s">
        <v>35</v>
      </c>
      <c r="O6" s="11" t="s">
        <v>12</v>
      </c>
      <c r="P6" s="36"/>
      <c r="Q6" s="36"/>
      <c r="R6" s="36"/>
      <c r="S6" s="27" t="s">
        <v>35</v>
      </c>
      <c r="T6" s="27" t="s">
        <v>35</v>
      </c>
      <c r="U6" s="28" t="s">
        <v>35</v>
      </c>
      <c r="V6" s="11" t="s">
        <v>12</v>
      </c>
      <c r="W6" s="26" t="s">
        <v>35</v>
      </c>
      <c r="X6" s="26" t="s">
        <v>35</v>
      </c>
      <c r="Y6" s="26" t="s">
        <v>35</v>
      </c>
      <c r="Z6" s="14">
        <v>50.13</v>
      </c>
      <c r="AA6" s="14">
        <v>305391.96000000002</v>
      </c>
      <c r="AB6" s="15">
        <v>6092</v>
      </c>
    </row>
    <row r="7" spans="1:28" s="16" customFormat="1" x14ac:dyDescent="0.25">
      <c r="A7" s="11" t="s">
        <v>13</v>
      </c>
      <c r="B7" s="43"/>
      <c r="C7" s="43"/>
      <c r="D7" s="43"/>
      <c r="E7" s="12">
        <v>20.055</v>
      </c>
      <c r="F7" s="12">
        <v>121324</v>
      </c>
      <c r="G7" s="13">
        <f t="shared" si="0"/>
        <v>6049.5636998254804</v>
      </c>
      <c r="H7" s="11" t="s">
        <v>13</v>
      </c>
      <c r="I7" s="4">
        <v>5.08</v>
      </c>
      <c r="J7" s="1">
        <v>34812</v>
      </c>
      <c r="K7" s="1">
        <v>6852.7559055118109</v>
      </c>
      <c r="L7" s="27" t="s">
        <v>35</v>
      </c>
      <c r="M7" s="27" t="s">
        <v>35</v>
      </c>
      <c r="N7" s="28" t="s">
        <v>35</v>
      </c>
      <c r="O7" s="11" t="s">
        <v>13</v>
      </c>
      <c r="P7" s="36"/>
      <c r="Q7" s="36"/>
      <c r="R7" s="36"/>
      <c r="S7" s="27" t="s">
        <v>35</v>
      </c>
      <c r="T7" s="27" t="s">
        <v>35</v>
      </c>
      <c r="U7" s="28" t="s">
        <v>35</v>
      </c>
      <c r="V7" s="11" t="s">
        <v>13</v>
      </c>
      <c r="W7" s="26" t="s">
        <v>35</v>
      </c>
      <c r="X7" s="26" t="s">
        <v>35</v>
      </c>
      <c r="Y7" s="26" t="s">
        <v>35</v>
      </c>
      <c r="Z7" s="14">
        <v>39.44</v>
      </c>
      <c r="AA7" s="14">
        <v>240268.47999999998</v>
      </c>
      <c r="AB7" s="15">
        <v>6092</v>
      </c>
    </row>
    <row r="8" spans="1:28" s="16" customFormat="1" x14ac:dyDescent="0.25">
      <c r="A8" s="11" t="s">
        <v>14</v>
      </c>
      <c r="B8" s="45"/>
      <c r="C8" s="45"/>
      <c r="D8" s="45"/>
      <c r="E8" s="12">
        <f>7.194</f>
        <v>7.194</v>
      </c>
      <c r="F8" s="12">
        <f>93720</f>
        <v>93720</v>
      </c>
      <c r="G8" s="13">
        <f>F8/E8</f>
        <v>13027.522935779816</v>
      </c>
      <c r="H8" s="11" t="s">
        <v>14</v>
      </c>
      <c r="I8" s="4">
        <v>6.0359999999999996</v>
      </c>
      <c r="J8" s="1">
        <v>36572</v>
      </c>
      <c r="K8" s="1">
        <v>6058.9794565937709</v>
      </c>
      <c r="L8" s="27" t="s">
        <v>35</v>
      </c>
      <c r="M8" s="27" t="s">
        <v>35</v>
      </c>
      <c r="N8" s="28" t="s">
        <v>35</v>
      </c>
      <c r="O8" s="11" t="s">
        <v>14</v>
      </c>
      <c r="P8" s="37"/>
      <c r="Q8" s="37"/>
      <c r="R8" s="37"/>
      <c r="S8" s="27" t="s">
        <v>35</v>
      </c>
      <c r="T8" s="27" t="s">
        <v>35</v>
      </c>
      <c r="U8" s="28" t="s">
        <v>35</v>
      </c>
      <c r="V8" s="11" t="s">
        <v>14</v>
      </c>
      <c r="W8" s="26" t="s">
        <v>35</v>
      </c>
      <c r="X8" s="26" t="s">
        <v>35</v>
      </c>
      <c r="Y8" s="26" t="s">
        <v>35</v>
      </c>
      <c r="Z8" s="14">
        <v>13.63</v>
      </c>
      <c r="AA8" s="14">
        <v>83033.960000000006</v>
      </c>
      <c r="AB8" s="15">
        <v>6092</v>
      </c>
    </row>
    <row r="9" spans="1:28" s="16" customFormat="1" x14ac:dyDescent="0.25">
      <c r="A9" s="11" t="s">
        <v>15</v>
      </c>
      <c r="B9" s="42">
        <v>25.690999999999999</v>
      </c>
      <c r="C9" s="35">
        <f>B9*D9</f>
        <v>178732.28699999998</v>
      </c>
      <c r="D9" s="42">
        <v>6957</v>
      </c>
      <c r="E9" s="27" t="s">
        <v>35</v>
      </c>
      <c r="F9" s="27" t="s">
        <v>35</v>
      </c>
      <c r="G9" s="28" t="s">
        <v>35</v>
      </c>
      <c r="H9" s="11" t="s">
        <v>15</v>
      </c>
      <c r="I9" s="4">
        <v>10.5</v>
      </c>
      <c r="J9" s="1">
        <v>64659</v>
      </c>
      <c r="K9" s="1">
        <v>6158</v>
      </c>
      <c r="L9" s="27" t="s">
        <v>35</v>
      </c>
      <c r="M9" s="27" t="s">
        <v>35</v>
      </c>
      <c r="N9" s="28" t="s">
        <v>35</v>
      </c>
      <c r="O9" s="11" t="s">
        <v>15</v>
      </c>
      <c r="P9" s="35">
        <f>11.128</f>
        <v>11.128</v>
      </c>
      <c r="Q9" s="35">
        <f>66684</f>
        <v>66684</v>
      </c>
      <c r="R9" s="35">
        <f>Q9/P9</f>
        <v>5992.4514737598847</v>
      </c>
      <c r="S9" s="27" t="s">
        <v>35</v>
      </c>
      <c r="T9" s="27" t="s">
        <v>35</v>
      </c>
      <c r="U9" s="28" t="s">
        <v>35</v>
      </c>
      <c r="V9" s="11" t="s">
        <v>15</v>
      </c>
      <c r="W9" s="26" t="s">
        <v>35</v>
      </c>
      <c r="X9" s="26" t="s">
        <v>35</v>
      </c>
      <c r="Y9" s="26" t="s">
        <v>35</v>
      </c>
      <c r="Z9" s="27" t="s">
        <v>35</v>
      </c>
      <c r="AA9" s="27" t="s">
        <v>35</v>
      </c>
      <c r="AB9" s="27" t="s">
        <v>35</v>
      </c>
    </row>
    <row r="10" spans="1:28" s="16" customFormat="1" x14ac:dyDescent="0.25">
      <c r="A10" s="11" t="s">
        <v>16</v>
      </c>
      <c r="B10" s="43"/>
      <c r="C10" s="36"/>
      <c r="D10" s="43"/>
      <c r="E10" s="27" t="s">
        <v>35</v>
      </c>
      <c r="F10" s="27" t="s">
        <v>35</v>
      </c>
      <c r="G10" s="28" t="s">
        <v>35</v>
      </c>
      <c r="H10" s="11" t="s">
        <v>16</v>
      </c>
      <c r="I10" s="4">
        <v>4.74</v>
      </c>
      <c r="J10" s="1">
        <v>29755</v>
      </c>
      <c r="K10" s="1">
        <v>6277.4261603375526</v>
      </c>
      <c r="L10" s="27" t="s">
        <v>35</v>
      </c>
      <c r="M10" s="27" t="s">
        <v>35</v>
      </c>
      <c r="N10" s="28" t="s">
        <v>35</v>
      </c>
      <c r="O10" s="11" t="s">
        <v>16</v>
      </c>
      <c r="P10" s="36"/>
      <c r="Q10" s="36"/>
      <c r="R10" s="36"/>
      <c r="S10" s="27" t="s">
        <v>35</v>
      </c>
      <c r="T10" s="27" t="s">
        <v>35</v>
      </c>
      <c r="U10" s="28" t="s">
        <v>35</v>
      </c>
      <c r="V10" s="11" t="s">
        <v>16</v>
      </c>
      <c r="W10" s="26" t="s">
        <v>35</v>
      </c>
      <c r="X10" s="26" t="s">
        <v>35</v>
      </c>
      <c r="Y10" s="26" t="s">
        <v>35</v>
      </c>
      <c r="Z10" s="27" t="s">
        <v>35</v>
      </c>
      <c r="AA10" s="27" t="s">
        <v>35</v>
      </c>
      <c r="AB10" s="27" t="s">
        <v>35</v>
      </c>
    </row>
    <row r="11" spans="1:28" s="16" customFormat="1" x14ac:dyDescent="0.25">
      <c r="A11" s="11" t="s">
        <v>17</v>
      </c>
      <c r="B11" s="43"/>
      <c r="C11" s="36"/>
      <c r="D11" s="43"/>
      <c r="E11" s="27" t="s">
        <v>35</v>
      </c>
      <c r="F11" s="27" t="s">
        <v>35</v>
      </c>
      <c r="G11" s="28" t="s">
        <v>35</v>
      </c>
      <c r="H11" s="11" t="s">
        <v>17</v>
      </c>
      <c r="I11" s="4">
        <v>4.71</v>
      </c>
      <c r="J11" s="1">
        <v>29790</v>
      </c>
      <c r="K11" s="1">
        <v>6324.8407643312103</v>
      </c>
      <c r="L11" s="27" t="s">
        <v>35</v>
      </c>
      <c r="M11" s="27" t="s">
        <v>35</v>
      </c>
      <c r="N11" s="28" t="s">
        <v>35</v>
      </c>
      <c r="O11" s="11" t="s">
        <v>17</v>
      </c>
      <c r="P11" s="36"/>
      <c r="Q11" s="36"/>
      <c r="R11" s="36"/>
      <c r="S11" s="27" t="s">
        <v>35</v>
      </c>
      <c r="T11" s="27" t="s">
        <v>35</v>
      </c>
      <c r="U11" s="28" t="s">
        <v>35</v>
      </c>
      <c r="V11" s="11" t="s">
        <v>17</v>
      </c>
      <c r="W11" s="26" t="s">
        <v>35</v>
      </c>
      <c r="X11" s="26" t="s">
        <v>35</v>
      </c>
      <c r="Y11" s="26" t="s">
        <v>35</v>
      </c>
      <c r="Z11" s="27" t="s">
        <v>35</v>
      </c>
      <c r="AA11" s="27" t="s">
        <v>35</v>
      </c>
      <c r="AB11" s="27" t="s">
        <v>35</v>
      </c>
    </row>
    <row r="12" spans="1:28" s="16" customFormat="1" x14ac:dyDescent="0.25">
      <c r="A12" s="11" t="s">
        <v>18</v>
      </c>
      <c r="B12" s="43"/>
      <c r="C12" s="36"/>
      <c r="D12" s="43"/>
      <c r="E12" s="27" t="s">
        <v>35</v>
      </c>
      <c r="F12" s="27" t="s">
        <v>35</v>
      </c>
      <c r="G12" s="28" t="s">
        <v>35</v>
      </c>
      <c r="H12" s="11" t="s">
        <v>18</v>
      </c>
      <c r="I12" s="4">
        <v>9.32</v>
      </c>
      <c r="J12" s="1">
        <v>58132</v>
      </c>
      <c r="K12" s="1">
        <v>6237.3390557939911</v>
      </c>
      <c r="L12" s="27" t="s">
        <v>35</v>
      </c>
      <c r="M12" s="27" t="s">
        <v>35</v>
      </c>
      <c r="N12" s="28" t="s">
        <v>35</v>
      </c>
      <c r="O12" s="11" t="s">
        <v>18</v>
      </c>
      <c r="P12" s="36"/>
      <c r="Q12" s="36"/>
      <c r="R12" s="36"/>
      <c r="S12" s="27" t="s">
        <v>35</v>
      </c>
      <c r="T12" s="27" t="s">
        <v>35</v>
      </c>
      <c r="U12" s="28" t="s">
        <v>35</v>
      </c>
      <c r="V12" s="11" t="s">
        <v>18</v>
      </c>
      <c r="W12" s="26" t="s">
        <v>35</v>
      </c>
      <c r="X12" s="26" t="s">
        <v>35</v>
      </c>
      <c r="Y12" s="26" t="s">
        <v>35</v>
      </c>
      <c r="Z12" s="27" t="s">
        <v>35</v>
      </c>
      <c r="AA12" s="27" t="s">
        <v>35</v>
      </c>
      <c r="AB12" s="27" t="s">
        <v>35</v>
      </c>
    </row>
    <row r="13" spans="1:28" s="16" customFormat="1" x14ac:dyDescent="0.25">
      <c r="A13" s="11" t="s">
        <v>19</v>
      </c>
      <c r="B13" s="43"/>
      <c r="C13" s="36"/>
      <c r="D13" s="43"/>
      <c r="E13" s="12">
        <v>12</v>
      </c>
      <c r="F13" s="5">
        <v>104034</v>
      </c>
      <c r="G13" s="6">
        <f t="shared" si="0"/>
        <v>8669.5</v>
      </c>
      <c r="H13" s="11" t="s">
        <v>19</v>
      </c>
      <c r="I13" s="4">
        <v>9.66</v>
      </c>
      <c r="J13" s="1">
        <v>60807</v>
      </c>
      <c r="K13" s="1">
        <v>6294.7204968944097</v>
      </c>
      <c r="L13" s="27" t="s">
        <v>35</v>
      </c>
      <c r="M13" s="27" t="s">
        <v>35</v>
      </c>
      <c r="N13" s="28" t="s">
        <v>35</v>
      </c>
      <c r="O13" s="11" t="s">
        <v>19</v>
      </c>
      <c r="P13" s="36"/>
      <c r="Q13" s="36"/>
      <c r="R13" s="36"/>
      <c r="S13" s="27" t="s">
        <v>35</v>
      </c>
      <c r="T13" s="27" t="s">
        <v>35</v>
      </c>
      <c r="U13" s="28" t="s">
        <v>35</v>
      </c>
      <c r="V13" s="11" t="s">
        <v>19</v>
      </c>
      <c r="W13" s="26" t="s">
        <v>35</v>
      </c>
      <c r="X13" s="26" t="s">
        <v>35</v>
      </c>
      <c r="Y13" s="26" t="s">
        <v>35</v>
      </c>
      <c r="Z13" s="14">
        <v>17.64</v>
      </c>
      <c r="AA13" s="14">
        <v>107462.88</v>
      </c>
      <c r="AB13" s="15">
        <v>6092</v>
      </c>
    </row>
    <row r="14" spans="1:28" s="16" customFormat="1" x14ac:dyDescent="0.25">
      <c r="A14" s="11" t="s">
        <v>20</v>
      </c>
      <c r="B14" s="43"/>
      <c r="C14" s="36"/>
      <c r="D14" s="43"/>
      <c r="E14" s="12">
        <v>26.75</v>
      </c>
      <c r="F14" s="5">
        <v>135692</v>
      </c>
      <c r="G14" s="6">
        <f t="shared" si="0"/>
        <v>5072.5981308411219</v>
      </c>
      <c r="H14" s="11" t="s">
        <v>20</v>
      </c>
      <c r="I14" s="4">
        <v>9.81</v>
      </c>
      <c r="J14" s="1">
        <v>61952</v>
      </c>
      <c r="K14" s="1">
        <v>6315.1885830784913</v>
      </c>
      <c r="L14" s="27" t="s">
        <v>35</v>
      </c>
      <c r="M14" s="27" t="s">
        <v>35</v>
      </c>
      <c r="N14" s="28" t="s">
        <v>35</v>
      </c>
      <c r="O14" s="11" t="s">
        <v>20</v>
      </c>
      <c r="P14" s="36"/>
      <c r="Q14" s="36"/>
      <c r="R14" s="36"/>
      <c r="S14" s="27" t="s">
        <v>35</v>
      </c>
      <c r="T14" s="27" t="s">
        <v>35</v>
      </c>
      <c r="U14" s="28" t="s">
        <v>35</v>
      </c>
      <c r="V14" s="11" t="s">
        <v>20</v>
      </c>
      <c r="W14" s="26" t="s">
        <v>35</v>
      </c>
      <c r="X14" s="26" t="s">
        <v>35</v>
      </c>
      <c r="Y14" s="26" t="s">
        <v>35</v>
      </c>
      <c r="Z14" s="14">
        <v>46.83</v>
      </c>
      <c r="AA14" s="14">
        <v>285288.36</v>
      </c>
      <c r="AB14" s="15">
        <v>6092</v>
      </c>
    </row>
    <row r="15" spans="1:28" s="16" customFormat="1" x14ac:dyDescent="0.25">
      <c r="A15" s="11" t="s">
        <v>21</v>
      </c>
      <c r="B15" s="45"/>
      <c r="C15" s="37"/>
      <c r="D15" s="45"/>
      <c r="E15" s="12">
        <v>36.805</v>
      </c>
      <c r="F15" s="5">
        <f>157274</f>
        <v>157274</v>
      </c>
      <c r="G15" s="6">
        <f t="shared" si="0"/>
        <v>4273.1694063306613</v>
      </c>
      <c r="H15" s="11" t="s">
        <v>21</v>
      </c>
      <c r="I15" s="4">
        <v>8.42</v>
      </c>
      <c r="J15" s="1">
        <v>52349</v>
      </c>
      <c r="K15" s="1">
        <v>6217.2209026128266</v>
      </c>
      <c r="L15" s="27" t="s">
        <v>35</v>
      </c>
      <c r="M15" s="27" t="s">
        <v>35</v>
      </c>
      <c r="N15" s="28" t="s">
        <v>35</v>
      </c>
      <c r="O15" s="11" t="s">
        <v>21</v>
      </c>
      <c r="P15" s="37"/>
      <c r="Q15" s="37"/>
      <c r="R15" s="37"/>
      <c r="S15" s="27" t="s">
        <v>35</v>
      </c>
      <c r="T15" s="27" t="s">
        <v>35</v>
      </c>
      <c r="U15" s="28" t="s">
        <v>35</v>
      </c>
      <c r="V15" s="11" t="s">
        <v>21</v>
      </c>
      <c r="W15" s="26" t="s">
        <v>35</v>
      </c>
      <c r="X15" s="26" t="s">
        <v>35</v>
      </c>
      <c r="Y15" s="26" t="s">
        <v>35</v>
      </c>
      <c r="Z15" s="14">
        <v>58.98</v>
      </c>
      <c r="AA15" s="14">
        <v>359306.16</v>
      </c>
      <c r="AB15" s="15">
        <v>6092</v>
      </c>
    </row>
    <row r="16" spans="1:28" s="16" customFormat="1" x14ac:dyDescent="0.25">
      <c r="A16" s="11" t="s">
        <v>22</v>
      </c>
      <c r="B16" s="42">
        <f>4.784+7.337+0.35+3.38</f>
        <v>15.850999999999999</v>
      </c>
      <c r="C16" s="52">
        <f>43405+67907+6632+38251</f>
        <v>156195</v>
      </c>
      <c r="D16" s="55">
        <f>C16/B16</f>
        <v>9853.9524320232176</v>
      </c>
      <c r="E16" s="5">
        <v>40.332999999999998</v>
      </c>
      <c r="F16" s="5">
        <f>177446</f>
        <v>177446</v>
      </c>
      <c r="G16" s="6">
        <f t="shared" si="0"/>
        <v>4399.5239630079586</v>
      </c>
      <c r="H16" s="11" t="s">
        <v>22</v>
      </c>
      <c r="I16" s="4">
        <v>9.7769999999999992</v>
      </c>
      <c r="J16" s="1">
        <v>84783</v>
      </c>
      <c r="K16" s="1">
        <v>8671.6784289659408</v>
      </c>
      <c r="L16" s="27" t="s">
        <v>35</v>
      </c>
      <c r="M16" s="27" t="s">
        <v>35</v>
      </c>
      <c r="N16" s="28" t="s">
        <v>35</v>
      </c>
      <c r="O16" s="11" t="s">
        <v>22</v>
      </c>
      <c r="P16" s="42">
        <f>10.661</f>
        <v>10.661</v>
      </c>
      <c r="Q16" s="35">
        <f>87707</f>
        <v>87707</v>
      </c>
      <c r="R16" s="35">
        <f>Q16/P16</f>
        <v>8226.9017915767763</v>
      </c>
      <c r="S16" s="27" t="s">
        <v>35</v>
      </c>
      <c r="T16" s="27" t="s">
        <v>35</v>
      </c>
      <c r="U16" s="28" t="s">
        <v>35</v>
      </c>
      <c r="V16" s="11" t="s">
        <v>22</v>
      </c>
      <c r="W16" s="26" t="s">
        <v>35</v>
      </c>
      <c r="X16" s="26" t="s">
        <v>35</v>
      </c>
      <c r="Y16" s="26" t="s">
        <v>35</v>
      </c>
      <c r="Z16" s="17">
        <v>73.114000000000004</v>
      </c>
      <c r="AA16" s="14">
        <v>552324.35473372787</v>
      </c>
      <c r="AB16" s="9">
        <v>7554.289940828402</v>
      </c>
    </row>
    <row r="17" spans="1:28" s="16" customFormat="1" x14ac:dyDescent="0.25">
      <c r="A17" s="11" t="s">
        <v>23</v>
      </c>
      <c r="B17" s="43"/>
      <c r="C17" s="53"/>
      <c r="D17" s="43"/>
      <c r="E17" s="5">
        <v>26.777000000000001</v>
      </c>
      <c r="F17" s="5">
        <f>149135</f>
        <v>149135</v>
      </c>
      <c r="G17" s="6">
        <f t="shared" si="0"/>
        <v>5569.5186167233069</v>
      </c>
      <c r="H17" s="11" t="s">
        <v>23</v>
      </c>
      <c r="I17" s="4">
        <v>8.5440000000000005</v>
      </c>
      <c r="J17" s="1">
        <v>74348</v>
      </c>
      <c r="K17" s="1">
        <v>8701.7790262172275</v>
      </c>
      <c r="L17" s="27" t="s">
        <v>35</v>
      </c>
      <c r="M17" s="27" t="s">
        <v>35</v>
      </c>
      <c r="N17" s="28" t="s">
        <v>35</v>
      </c>
      <c r="O17" s="11" t="s">
        <v>23</v>
      </c>
      <c r="P17" s="43"/>
      <c r="Q17" s="36"/>
      <c r="R17" s="36"/>
      <c r="S17" s="27" t="s">
        <v>35</v>
      </c>
      <c r="T17" s="27" t="s">
        <v>35</v>
      </c>
      <c r="U17" s="28" t="s">
        <v>35</v>
      </c>
      <c r="V17" s="11" t="s">
        <v>23</v>
      </c>
      <c r="W17" s="26" t="s">
        <v>35</v>
      </c>
      <c r="X17" s="26" t="s">
        <v>35</v>
      </c>
      <c r="Y17" s="26" t="s">
        <v>35</v>
      </c>
      <c r="Z17" s="17">
        <v>48.650000000000006</v>
      </c>
      <c r="AA17" s="14">
        <v>367516.20562130178</v>
      </c>
      <c r="AB17" s="9">
        <v>7554.289940828402</v>
      </c>
    </row>
    <row r="18" spans="1:28" s="16" customFormat="1" x14ac:dyDescent="0.25">
      <c r="A18" s="11" t="s">
        <v>24</v>
      </c>
      <c r="B18" s="43"/>
      <c r="C18" s="53"/>
      <c r="D18" s="43"/>
      <c r="E18" s="5">
        <v>22</v>
      </c>
      <c r="F18" s="5">
        <f>139156</f>
        <v>139156</v>
      </c>
      <c r="G18" s="6">
        <f t="shared" si="0"/>
        <v>6325.272727272727</v>
      </c>
      <c r="H18" s="11" t="s">
        <v>24</v>
      </c>
      <c r="I18" s="4">
        <v>9.2840000000000007</v>
      </c>
      <c r="J18" s="1">
        <v>80611</v>
      </c>
      <c r="K18" s="1">
        <v>8682.7875915553632</v>
      </c>
      <c r="L18" s="27" t="s">
        <v>35</v>
      </c>
      <c r="M18" s="27" t="s">
        <v>35</v>
      </c>
      <c r="N18" s="28" t="s">
        <v>35</v>
      </c>
      <c r="O18" s="11" t="s">
        <v>24</v>
      </c>
      <c r="P18" s="43"/>
      <c r="Q18" s="36"/>
      <c r="R18" s="36"/>
      <c r="S18" s="27" t="s">
        <v>35</v>
      </c>
      <c r="T18" s="27" t="s">
        <v>35</v>
      </c>
      <c r="U18" s="28" t="s">
        <v>35</v>
      </c>
      <c r="V18" s="11" t="s">
        <v>24</v>
      </c>
      <c r="W18" s="26" t="s">
        <v>35</v>
      </c>
      <c r="X18" s="26" t="s">
        <v>35</v>
      </c>
      <c r="Y18" s="26" t="s">
        <v>35</v>
      </c>
      <c r="Z18" s="17">
        <v>33.082000000000001</v>
      </c>
      <c r="AA18" s="14">
        <v>249911.01982248519</v>
      </c>
      <c r="AB18" s="9">
        <v>7554.289940828402</v>
      </c>
    </row>
    <row r="19" spans="1:28" s="16" customFormat="1" x14ac:dyDescent="0.25">
      <c r="A19" s="11" t="s">
        <v>25</v>
      </c>
      <c r="B19" s="43"/>
      <c r="C19" s="53"/>
      <c r="D19" s="43"/>
      <c r="E19" s="5">
        <v>14.611000000000001</v>
      </c>
      <c r="F19" s="5">
        <v>123724</v>
      </c>
      <c r="G19" s="6">
        <f t="shared" si="0"/>
        <v>8467.866675792211</v>
      </c>
      <c r="H19" s="11" t="s">
        <v>25</v>
      </c>
      <c r="I19" s="4">
        <v>9.6359999999999992</v>
      </c>
      <c r="J19" s="1">
        <v>83590</v>
      </c>
      <c r="K19" s="1">
        <v>8674.7613117476139</v>
      </c>
      <c r="L19" s="27" t="s">
        <v>35</v>
      </c>
      <c r="M19" s="27" t="s">
        <v>35</v>
      </c>
      <c r="N19" s="28" t="s">
        <v>35</v>
      </c>
      <c r="O19" s="11" t="s">
        <v>25</v>
      </c>
      <c r="P19" s="43"/>
      <c r="Q19" s="36"/>
      <c r="R19" s="36"/>
      <c r="S19" s="27" t="s">
        <v>35</v>
      </c>
      <c r="T19" s="27" t="s">
        <v>35</v>
      </c>
      <c r="U19" s="28" t="s">
        <v>35</v>
      </c>
      <c r="V19" s="11" t="s">
        <v>25</v>
      </c>
      <c r="W19" s="26" t="s">
        <v>35</v>
      </c>
      <c r="X19" s="26" t="s">
        <v>35</v>
      </c>
      <c r="Y19" s="26" t="s">
        <v>35</v>
      </c>
      <c r="Z19" s="17">
        <v>19.168100000000003</v>
      </c>
      <c r="AA19" s="14">
        <v>144801.3850147929</v>
      </c>
      <c r="AB19" s="9">
        <v>7554.289940828402</v>
      </c>
    </row>
    <row r="20" spans="1:28" s="16" customFormat="1" x14ac:dyDescent="0.25">
      <c r="A20" s="11" t="s">
        <v>26</v>
      </c>
      <c r="B20" s="45"/>
      <c r="C20" s="54"/>
      <c r="D20" s="45"/>
      <c r="E20" s="5">
        <v>3.8610000000000002</v>
      </c>
      <c r="F20" s="5">
        <v>101271</v>
      </c>
      <c r="G20" s="6">
        <f t="shared" si="0"/>
        <v>26229.215229215228</v>
      </c>
      <c r="H20" s="11" t="s">
        <v>26</v>
      </c>
      <c r="I20" s="4">
        <v>10.035</v>
      </c>
      <c r="J20" s="1">
        <v>86967</v>
      </c>
      <c r="K20" s="1">
        <v>8666.3677130044834</v>
      </c>
      <c r="L20" s="27" t="s">
        <v>35</v>
      </c>
      <c r="M20" s="27" t="s">
        <v>35</v>
      </c>
      <c r="N20" s="28" t="s">
        <v>35</v>
      </c>
      <c r="O20" s="11" t="s">
        <v>26</v>
      </c>
      <c r="P20" s="45"/>
      <c r="Q20" s="37"/>
      <c r="R20" s="37"/>
      <c r="S20" s="27" t="s">
        <v>35</v>
      </c>
      <c r="T20" s="27" t="s">
        <v>35</v>
      </c>
      <c r="U20" s="28" t="s">
        <v>35</v>
      </c>
      <c r="V20" s="11" t="s">
        <v>26</v>
      </c>
      <c r="W20" s="26" t="s">
        <v>35</v>
      </c>
      <c r="X20" s="26" t="s">
        <v>35</v>
      </c>
      <c r="Y20" s="26" t="s">
        <v>35</v>
      </c>
      <c r="Z20" s="17">
        <v>7.8173600000000008</v>
      </c>
      <c r="AA20" s="14">
        <v>59054.604011834323</v>
      </c>
      <c r="AB20" s="9">
        <v>7554.289940828402</v>
      </c>
    </row>
    <row r="21" spans="1:28" s="16" customFormat="1" x14ac:dyDescent="0.25">
      <c r="A21" s="11" t="s">
        <v>27</v>
      </c>
      <c r="B21" s="56" t="s">
        <v>35</v>
      </c>
      <c r="C21" s="56" t="s">
        <v>35</v>
      </c>
      <c r="D21" s="56" t="s">
        <v>35</v>
      </c>
      <c r="E21" s="27" t="s">
        <v>35</v>
      </c>
      <c r="F21" s="27" t="s">
        <v>35</v>
      </c>
      <c r="G21" s="28" t="s">
        <v>35</v>
      </c>
      <c r="H21" s="11" t="s">
        <v>27</v>
      </c>
      <c r="I21" s="4">
        <v>9.5670000000000002</v>
      </c>
      <c r="J21" s="1">
        <v>82886</v>
      </c>
      <c r="K21" s="1">
        <v>8663.7399393749347</v>
      </c>
      <c r="L21" s="27" t="s">
        <v>35</v>
      </c>
      <c r="M21" s="27" t="s">
        <v>35</v>
      </c>
      <c r="N21" s="28" t="s">
        <v>35</v>
      </c>
      <c r="O21" s="11" t="s">
        <v>27</v>
      </c>
      <c r="P21" s="42">
        <f>11.29</f>
        <v>11.29</v>
      </c>
      <c r="Q21" s="35">
        <f>94437</f>
        <v>94437</v>
      </c>
      <c r="R21" s="35">
        <f>Q21/P21</f>
        <v>8364.6589902568649</v>
      </c>
      <c r="S21" s="27" t="s">
        <v>35</v>
      </c>
      <c r="T21" s="27" t="s">
        <v>35</v>
      </c>
      <c r="U21" s="28" t="s">
        <v>35</v>
      </c>
      <c r="V21" s="11" t="s">
        <v>27</v>
      </c>
      <c r="W21" s="26" t="s">
        <v>35</v>
      </c>
      <c r="X21" s="26" t="s">
        <v>35</v>
      </c>
      <c r="Y21" s="26" t="s">
        <v>35</v>
      </c>
      <c r="Z21" s="27" t="s">
        <v>35</v>
      </c>
      <c r="AA21" s="27" t="s">
        <v>35</v>
      </c>
      <c r="AB21" s="27" t="s">
        <v>35</v>
      </c>
    </row>
    <row r="22" spans="1:28" s="16" customFormat="1" x14ac:dyDescent="0.25">
      <c r="A22" s="11" t="s">
        <v>28</v>
      </c>
      <c r="B22" s="57"/>
      <c r="C22" s="57"/>
      <c r="D22" s="57"/>
      <c r="E22" s="27" t="s">
        <v>35</v>
      </c>
      <c r="F22" s="27" t="s">
        <v>35</v>
      </c>
      <c r="G22" s="28" t="s">
        <v>35</v>
      </c>
      <c r="H22" s="11" t="s">
        <v>28</v>
      </c>
      <c r="I22" s="4">
        <v>4.9020000000000001</v>
      </c>
      <c r="J22" s="1">
        <v>43411</v>
      </c>
      <c r="K22" s="1">
        <v>8855.7731538147691</v>
      </c>
      <c r="L22" s="27" t="s">
        <v>35</v>
      </c>
      <c r="M22" s="27" t="s">
        <v>35</v>
      </c>
      <c r="N22" s="28" t="s">
        <v>35</v>
      </c>
      <c r="O22" s="11" t="s">
        <v>28</v>
      </c>
      <c r="P22" s="43"/>
      <c r="Q22" s="36"/>
      <c r="R22" s="36"/>
      <c r="S22" s="27" t="s">
        <v>35</v>
      </c>
      <c r="T22" s="27" t="s">
        <v>35</v>
      </c>
      <c r="U22" s="28" t="s">
        <v>35</v>
      </c>
      <c r="V22" s="11" t="s">
        <v>28</v>
      </c>
      <c r="W22" s="26" t="s">
        <v>35</v>
      </c>
      <c r="X22" s="26" t="s">
        <v>35</v>
      </c>
      <c r="Y22" s="26" t="s">
        <v>35</v>
      </c>
      <c r="Z22" s="27" t="s">
        <v>35</v>
      </c>
      <c r="AA22" s="27" t="s">
        <v>35</v>
      </c>
      <c r="AB22" s="27" t="s">
        <v>35</v>
      </c>
    </row>
    <row r="23" spans="1:28" s="16" customFormat="1" x14ac:dyDescent="0.25">
      <c r="A23" s="11" t="s">
        <v>29</v>
      </c>
      <c r="B23" s="57"/>
      <c r="C23" s="57"/>
      <c r="D23" s="57"/>
      <c r="E23" s="27" t="s">
        <v>35</v>
      </c>
      <c r="F23" s="27" t="s">
        <v>35</v>
      </c>
      <c r="G23" s="28" t="s">
        <v>35</v>
      </c>
      <c r="H23" s="11" t="s">
        <v>29</v>
      </c>
      <c r="I23" s="4">
        <v>4.8740000000000006</v>
      </c>
      <c r="J23" s="1">
        <v>43174</v>
      </c>
      <c r="K23" s="1">
        <v>8858.0221583914645</v>
      </c>
      <c r="L23" s="27" t="s">
        <v>35</v>
      </c>
      <c r="M23" s="27" t="s">
        <v>35</v>
      </c>
      <c r="N23" s="28" t="s">
        <v>35</v>
      </c>
      <c r="O23" s="11" t="s">
        <v>29</v>
      </c>
      <c r="P23" s="43"/>
      <c r="Q23" s="36"/>
      <c r="R23" s="36"/>
      <c r="S23" s="27" t="s">
        <v>35</v>
      </c>
      <c r="T23" s="27" t="s">
        <v>35</v>
      </c>
      <c r="U23" s="28" t="s">
        <v>35</v>
      </c>
      <c r="V23" s="11" t="s">
        <v>29</v>
      </c>
      <c r="W23" s="26" t="s">
        <v>35</v>
      </c>
      <c r="X23" s="26" t="s">
        <v>35</v>
      </c>
      <c r="Y23" s="26" t="s">
        <v>35</v>
      </c>
      <c r="Z23" s="27" t="s">
        <v>35</v>
      </c>
      <c r="AA23" s="27" t="s">
        <v>35</v>
      </c>
      <c r="AB23" s="27" t="s">
        <v>35</v>
      </c>
    </row>
    <row r="24" spans="1:28" s="16" customFormat="1" x14ac:dyDescent="0.25">
      <c r="A24" s="11" t="s">
        <v>30</v>
      </c>
      <c r="B24" s="57"/>
      <c r="C24" s="57"/>
      <c r="D24" s="57"/>
      <c r="E24" s="5">
        <v>6.6109999999999998</v>
      </c>
      <c r="F24" s="5">
        <v>13807</v>
      </c>
      <c r="G24" s="6">
        <f t="shared" si="0"/>
        <v>2088.488882166087</v>
      </c>
      <c r="H24" s="11" t="s">
        <v>30</v>
      </c>
      <c r="I24" s="4">
        <v>10.93</v>
      </c>
      <c r="J24" s="1">
        <v>96906</v>
      </c>
      <c r="K24" s="1">
        <v>8866.0567246111623</v>
      </c>
      <c r="L24" s="27" t="s">
        <v>35</v>
      </c>
      <c r="M24" s="27" t="s">
        <v>35</v>
      </c>
      <c r="N24" s="28" t="s">
        <v>35</v>
      </c>
      <c r="O24" s="11" t="s">
        <v>30</v>
      </c>
      <c r="P24" s="43"/>
      <c r="Q24" s="36"/>
      <c r="R24" s="36"/>
      <c r="S24" s="27" t="s">
        <v>35</v>
      </c>
      <c r="T24" s="27" t="s">
        <v>35</v>
      </c>
      <c r="U24" s="28" t="s">
        <v>35</v>
      </c>
      <c r="V24" s="11" t="s">
        <v>30</v>
      </c>
      <c r="W24" s="26" t="s">
        <v>35</v>
      </c>
      <c r="X24" s="26" t="s">
        <v>35</v>
      </c>
      <c r="Y24" s="26" t="s">
        <v>35</v>
      </c>
      <c r="Z24" s="17">
        <v>12.279260000000001</v>
      </c>
      <c r="AA24" s="14">
        <v>92761.090298816576</v>
      </c>
      <c r="AB24" s="9">
        <v>7554.289940828402</v>
      </c>
    </row>
    <row r="25" spans="1:28" s="16" customFormat="1" x14ac:dyDescent="0.25">
      <c r="A25" s="11" t="s">
        <v>31</v>
      </c>
      <c r="B25" s="57"/>
      <c r="C25" s="57"/>
      <c r="D25" s="57"/>
      <c r="E25" s="5">
        <v>15.026999999999999</v>
      </c>
      <c r="F25" s="5">
        <f>124594</f>
        <v>124594</v>
      </c>
      <c r="G25" s="6">
        <f t="shared" si="0"/>
        <v>8291.3422506155584</v>
      </c>
      <c r="H25" s="11" t="s">
        <v>31</v>
      </c>
      <c r="I25" s="4">
        <v>10.861000000000001</v>
      </c>
      <c r="J25" s="1">
        <v>96288</v>
      </c>
      <c r="K25" s="1">
        <v>8865.4819998158546</v>
      </c>
      <c r="L25" s="27" t="s">
        <v>35</v>
      </c>
      <c r="M25" s="27" t="s">
        <v>35</v>
      </c>
      <c r="N25" s="28" t="s">
        <v>35</v>
      </c>
      <c r="O25" s="11" t="s">
        <v>31</v>
      </c>
      <c r="P25" s="43"/>
      <c r="Q25" s="36"/>
      <c r="R25" s="36"/>
      <c r="S25" s="27" t="s">
        <v>35</v>
      </c>
      <c r="T25" s="27" t="s">
        <v>35</v>
      </c>
      <c r="U25" s="28" t="s">
        <v>35</v>
      </c>
      <c r="V25" s="11" t="s">
        <v>31</v>
      </c>
      <c r="W25" s="26" t="s">
        <v>35</v>
      </c>
      <c r="X25" s="26" t="s">
        <v>35</v>
      </c>
      <c r="Y25" s="26" t="s">
        <v>35</v>
      </c>
      <c r="Z25" s="17">
        <v>25.676080000000002</v>
      </c>
      <c r="AA25" s="14">
        <v>193964.55286390532</v>
      </c>
      <c r="AB25" s="9">
        <v>7554.289940828402</v>
      </c>
    </row>
    <row r="26" spans="1:28" s="16" customFormat="1" x14ac:dyDescent="0.25">
      <c r="A26" s="11" t="s">
        <v>32</v>
      </c>
      <c r="B26" s="57"/>
      <c r="C26" s="57"/>
      <c r="D26" s="57"/>
      <c r="E26" s="5">
        <f>28.482</f>
        <v>28.481999999999999</v>
      </c>
      <c r="F26" s="5">
        <v>152674</v>
      </c>
      <c r="G26" s="6">
        <f t="shared" si="0"/>
        <v>5360.367951688786</v>
      </c>
      <c r="H26" s="11" t="s">
        <v>32</v>
      </c>
      <c r="I26" s="4">
        <v>10.919</v>
      </c>
      <c r="J26" s="1">
        <v>96779</v>
      </c>
      <c r="K26" s="1">
        <v>8863.3574503159634</v>
      </c>
      <c r="L26" s="27" t="s">
        <v>35</v>
      </c>
      <c r="M26" s="27" t="s">
        <v>35</v>
      </c>
      <c r="N26" s="28" t="s">
        <v>35</v>
      </c>
      <c r="O26" s="11" t="s">
        <v>32</v>
      </c>
      <c r="P26" s="43"/>
      <c r="Q26" s="36"/>
      <c r="R26" s="36"/>
      <c r="S26" s="27" t="s">
        <v>35</v>
      </c>
      <c r="T26" s="27" t="s">
        <v>35</v>
      </c>
      <c r="U26" s="28" t="s">
        <v>35</v>
      </c>
      <c r="V26" s="11" t="s">
        <v>32</v>
      </c>
      <c r="W26" s="26" t="s">
        <v>35</v>
      </c>
      <c r="X26" s="26" t="s">
        <v>35</v>
      </c>
      <c r="Y26" s="26" t="s">
        <v>35</v>
      </c>
      <c r="Z26" s="17">
        <v>53.526120000000006</v>
      </c>
      <c r="AA26" s="14">
        <v>404351.82988757401</v>
      </c>
      <c r="AB26" s="9">
        <v>7554.289940828402</v>
      </c>
    </row>
    <row r="27" spans="1:28" s="16" customFormat="1" ht="15.75" thickBot="1" x14ac:dyDescent="0.3">
      <c r="A27" s="18" t="s">
        <v>33</v>
      </c>
      <c r="B27" s="58"/>
      <c r="C27" s="58"/>
      <c r="D27" s="58"/>
      <c r="E27" s="7">
        <v>33.555</v>
      </c>
      <c r="F27" s="7">
        <v>163290</v>
      </c>
      <c r="G27" s="8">
        <f t="shared" si="0"/>
        <v>4866.338846669647</v>
      </c>
      <c r="H27" s="18" t="s">
        <v>33</v>
      </c>
      <c r="I27" s="4">
        <v>8.3680000000000003</v>
      </c>
      <c r="J27" s="1">
        <v>72745</v>
      </c>
      <c r="K27" s="1">
        <v>8693.2361376673034</v>
      </c>
      <c r="L27" s="29" t="s">
        <v>35</v>
      </c>
      <c r="M27" s="29" t="s">
        <v>35</v>
      </c>
      <c r="N27" s="30" t="s">
        <v>35</v>
      </c>
      <c r="O27" s="18" t="s">
        <v>33</v>
      </c>
      <c r="P27" s="44"/>
      <c r="Q27" s="41"/>
      <c r="R27" s="41"/>
      <c r="S27" s="29" t="s">
        <v>35</v>
      </c>
      <c r="T27" s="29" t="s">
        <v>35</v>
      </c>
      <c r="U27" s="30" t="s">
        <v>35</v>
      </c>
      <c r="V27" s="18" t="s">
        <v>33</v>
      </c>
      <c r="W27" s="26" t="s">
        <v>35</v>
      </c>
      <c r="X27" s="26" t="s">
        <v>35</v>
      </c>
      <c r="Y27" s="26" t="s">
        <v>35</v>
      </c>
      <c r="Z27" s="19">
        <v>65.149300000000011</v>
      </c>
      <c r="AA27" s="20">
        <v>492156.70164201187</v>
      </c>
      <c r="AB27" s="10">
        <v>7554.289940828402</v>
      </c>
    </row>
    <row r="28" spans="1:28" s="2" customFormat="1" x14ac:dyDescent="0.25">
      <c r="A28" s="49" t="s">
        <v>37</v>
      </c>
      <c r="B28" s="50"/>
      <c r="C28" s="50"/>
      <c r="D28" s="50"/>
      <c r="E28" s="50"/>
      <c r="F28" s="50"/>
      <c r="G28" s="51"/>
      <c r="H28" s="49" t="s">
        <v>38</v>
      </c>
      <c r="I28" s="50"/>
      <c r="J28" s="50"/>
      <c r="K28" s="50"/>
      <c r="L28" s="50"/>
      <c r="M28" s="50"/>
      <c r="N28" s="51"/>
      <c r="O28" s="49" t="s">
        <v>5</v>
      </c>
      <c r="P28" s="50"/>
      <c r="Q28" s="50"/>
      <c r="R28" s="50"/>
      <c r="S28" s="50"/>
      <c r="T28" s="50"/>
      <c r="U28" s="51"/>
      <c r="V28" s="49" t="s">
        <v>39</v>
      </c>
      <c r="W28" s="50"/>
      <c r="X28" s="50"/>
      <c r="Y28" s="50"/>
      <c r="Z28" s="50"/>
      <c r="AA28" s="50"/>
      <c r="AB28" s="51"/>
    </row>
    <row r="29" spans="1:28" x14ac:dyDescent="0.25">
      <c r="A29" s="3"/>
      <c r="B29" s="46" t="s">
        <v>0</v>
      </c>
      <c r="C29" s="46"/>
      <c r="D29" s="46"/>
      <c r="E29" s="47" t="s">
        <v>1</v>
      </c>
      <c r="F29" s="47"/>
      <c r="G29" s="48"/>
      <c r="H29" s="3"/>
      <c r="I29" s="46" t="s">
        <v>0</v>
      </c>
      <c r="J29" s="46"/>
      <c r="K29" s="46"/>
      <c r="L29" s="47" t="s">
        <v>1</v>
      </c>
      <c r="M29" s="47"/>
      <c r="N29" s="48"/>
      <c r="O29" s="3"/>
      <c r="P29" s="46" t="s">
        <v>0</v>
      </c>
      <c r="Q29" s="46"/>
      <c r="R29" s="46"/>
      <c r="S29" s="47" t="s">
        <v>1</v>
      </c>
      <c r="T29" s="47"/>
      <c r="U29" s="48"/>
      <c r="V29" s="3"/>
      <c r="W29" s="46" t="s">
        <v>0</v>
      </c>
      <c r="X29" s="46"/>
      <c r="Y29" s="46"/>
      <c r="Z29" s="47" t="s">
        <v>1</v>
      </c>
      <c r="AA29" s="47"/>
      <c r="AB29" s="48"/>
    </row>
    <row r="30" spans="1:28" s="2" customFormat="1" ht="30" x14ac:dyDescent="0.25">
      <c r="A30" s="31" t="s">
        <v>6</v>
      </c>
      <c r="B30" s="32" t="s">
        <v>7</v>
      </c>
      <c r="C30" s="32" t="s">
        <v>8</v>
      </c>
      <c r="D30" s="32" t="s">
        <v>9</v>
      </c>
      <c r="E30" s="33" t="s">
        <v>34</v>
      </c>
      <c r="F30" s="33" t="s">
        <v>8</v>
      </c>
      <c r="G30" s="34" t="s">
        <v>9</v>
      </c>
      <c r="H30" s="31" t="s">
        <v>6</v>
      </c>
      <c r="I30" s="32" t="s">
        <v>7</v>
      </c>
      <c r="J30" s="32" t="s">
        <v>8</v>
      </c>
      <c r="K30" s="32" t="s">
        <v>9</v>
      </c>
      <c r="L30" s="33" t="s">
        <v>34</v>
      </c>
      <c r="M30" s="33" t="s">
        <v>8</v>
      </c>
      <c r="N30" s="34" t="s">
        <v>9</v>
      </c>
      <c r="O30" s="31" t="s">
        <v>6</v>
      </c>
      <c r="P30" s="32" t="s">
        <v>7</v>
      </c>
      <c r="Q30" s="32" t="s">
        <v>8</v>
      </c>
      <c r="R30" s="32" t="s">
        <v>9</v>
      </c>
      <c r="S30" s="33" t="s">
        <v>34</v>
      </c>
      <c r="T30" s="33" t="s">
        <v>8</v>
      </c>
      <c r="U30" s="34" t="s">
        <v>9</v>
      </c>
      <c r="V30" s="31" t="s">
        <v>6</v>
      </c>
      <c r="W30" s="32" t="s">
        <v>7</v>
      </c>
      <c r="X30" s="32" t="s">
        <v>8</v>
      </c>
      <c r="Y30" s="32" t="s">
        <v>9</v>
      </c>
      <c r="Z30" s="33" t="s">
        <v>34</v>
      </c>
      <c r="AA30" s="33" t="s">
        <v>8</v>
      </c>
      <c r="AB30" s="34" t="s">
        <v>9</v>
      </c>
    </row>
    <row r="31" spans="1:28" s="16" customFormat="1" x14ac:dyDescent="0.25">
      <c r="A31" s="11" t="s">
        <v>10</v>
      </c>
      <c r="B31" s="35">
        <f>9.354</f>
        <v>9.3539999999999992</v>
      </c>
      <c r="C31" s="35">
        <f>69000</f>
        <v>69000</v>
      </c>
      <c r="D31" s="35">
        <f>C31/B31</f>
        <v>7376.5234124438748</v>
      </c>
      <c r="E31" s="14">
        <v>14.590999999999999</v>
      </c>
      <c r="F31" s="14">
        <v>56096</v>
      </c>
      <c r="G31" s="15">
        <f t="shared" ref="G31:G40" si="1">F31/E31</f>
        <v>3844.5617161263795</v>
      </c>
      <c r="H31" s="11" t="s">
        <v>10</v>
      </c>
      <c r="I31" s="35">
        <f>12.239</f>
        <v>12.239000000000001</v>
      </c>
      <c r="J31" s="35">
        <f>93177</f>
        <v>93177</v>
      </c>
      <c r="K31" s="35">
        <f>J31/I31</f>
        <v>7613.1219870904479</v>
      </c>
      <c r="L31" s="14">
        <v>15.933</v>
      </c>
      <c r="M31" s="14">
        <v>66797</v>
      </c>
      <c r="N31" s="15">
        <f>M31/L31</f>
        <v>4192.3680411724099</v>
      </c>
      <c r="O31" s="11" t="s">
        <v>10</v>
      </c>
      <c r="P31" s="35">
        <f>9.61+4.219+0.7</f>
        <v>14.529</v>
      </c>
      <c r="Q31" s="35">
        <f>67889+29330+7862</f>
        <v>105081</v>
      </c>
      <c r="R31" s="35">
        <f>Q31/P31</f>
        <v>7232.500516208961</v>
      </c>
      <c r="S31" s="14">
        <v>15.315020000000002</v>
      </c>
      <c r="T31" s="14">
        <v>74671.28</v>
      </c>
      <c r="U31" s="15">
        <f>T31/S31</f>
        <v>4875.689355939463</v>
      </c>
      <c r="V31" s="11" t="s">
        <v>10</v>
      </c>
      <c r="W31" s="35">
        <v>11.013999999999999</v>
      </c>
      <c r="X31" s="38" t="s">
        <v>35</v>
      </c>
      <c r="Y31" s="38" t="s">
        <v>35</v>
      </c>
      <c r="Z31" s="21">
        <v>17.350000000000001</v>
      </c>
      <c r="AA31" s="22">
        <v>76147</v>
      </c>
      <c r="AB31" s="15">
        <f t="shared" ref="AB31:AB53" si="2">AA31/Z31</f>
        <v>4388.8760806916425</v>
      </c>
    </row>
    <row r="32" spans="1:28" s="16" customFormat="1" x14ac:dyDescent="0.25">
      <c r="A32" s="11" t="s">
        <v>11</v>
      </c>
      <c r="B32" s="36"/>
      <c r="C32" s="36"/>
      <c r="D32" s="36"/>
      <c r="E32" s="14">
        <v>13.933</v>
      </c>
      <c r="F32" s="14">
        <v>54683</v>
      </c>
      <c r="G32" s="15">
        <f t="shared" si="1"/>
        <v>3924.7111174908491</v>
      </c>
      <c r="H32" s="11" t="s">
        <v>11</v>
      </c>
      <c r="I32" s="36"/>
      <c r="J32" s="36"/>
      <c r="K32" s="36"/>
      <c r="L32" s="14">
        <v>15.638</v>
      </c>
      <c r="M32" s="14">
        <v>66165</v>
      </c>
      <c r="N32" s="15">
        <f t="shared" ref="N32:N54" si="3">M32/L32</f>
        <v>4231.0397749072772</v>
      </c>
      <c r="O32" s="11" t="s">
        <v>11</v>
      </c>
      <c r="P32" s="36"/>
      <c r="Q32" s="36"/>
      <c r="R32" s="36"/>
      <c r="S32" s="14">
        <v>13.8</v>
      </c>
      <c r="T32" s="14">
        <v>72362.36</v>
      </c>
      <c r="U32" s="15">
        <f t="shared" ref="U32:U54" si="4">T32/S32</f>
        <v>5243.6492753623188</v>
      </c>
      <c r="V32" s="11" t="s">
        <v>11</v>
      </c>
      <c r="W32" s="36"/>
      <c r="X32" s="39"/>
      <c r="Y32" s="39"/>
      <c r="Z32" s="21">
        <v>16.288</v>
      </c>
      <c r="AA32" s="22">
        <v>73870</v>
      </c>
      <c r="AB32" s="15">
        <f t="shared" si="2"/>
        <v>4535.2406679764244</v>
      </c>
    </row>
    <row r="33" spans="1:28" s="16" customFormat="1" x14ac:dyDescent="0.25">
      <c r="A33" s="11" t="s">
        <v>12</v>
      </c>
      <c r="B33" s="36"/>
      <c r="C33" s="36"/>
      <c r="D33" s="36"/>
      <c r="E33" s="14">
        <v>12.486000000000001</v>
      </c>
      <c r="F33" s="14">
        <v>51577</v>
      </c>
      <c r="G33" s="15">
        <f t="shared" si="1"/>
        <v>4130.7864808585609</v>
      </c>
      <c r="H33" s="11" t="s">
        <v>12</v>
      </c>
      <c r="I33" s="36"/>
      <c r="J33" s="36"/>
      <c r="K33" s="36"/>
      <c r="L33" s="14">
        <v>15.452</v>
      </c>
      <c r="M33" s="14">
        <v>65766</v>
      </c>
      <c r="N33" s="15">
        <f t="shared" si="3"/>
        <v>4256.1480714470617</v>
      </c>
      <c r="O33" s="11" t="s">
        <v>12</v>
      </c>
      <c r="P33" s="36"/>
      <c r="Q33" s="36"/>
      <c r="R33" s="36"/>
      <c r="S33" s="14">
        <v>12.140260000000001</v>
      </c>
      <c r="T33" s="14">
        <v>68481.64</v>
      </c>
      <c r="U33" s="15">
        <f>T33/S33</f>
        <v>5640.8709533403726</v>
      </c>
      <c r="V33" s="11" t="s">
        <v>12</v>
      </c>
      <c r="W33" s="36"/>
      <c r="X33" s="39"/>
      <c r="Y33" s="39"/>
      <c r="Z33" s="21">
        <v>14.188000000000001</v>
      </c>
      <c r="AA33" s="22">
        <v>69363</v>
      </c>
      <c r="AB33" s="15">
        <f t="shared" si="2"/>
        <v>4888.8497321680288</v>
      </c>
    </row>
    <row r="34" spans="1:28" s="16" customFormat="1" x14ac:dyDescent="0.25">
      <c r="A34" s="11" t="s">
        <v>13</v>
      </c>
      <c r="B34" s="37"/>
      <c r="C34" s="37"/>
      <c r="D34" s="37"/>
      <c r="E34" s="14">
        <v>9.4329999999999998</v>
      </c>
      <c r="F34" s="14">
        <v>45025</v>
      </c>
      <c r="G34" s="15">
        <f t="shared" si="1"/>
        <v>4773.1368599597163</v>
      </c>
      <c r="H34" s="11" t="s">
        <v>13</v>
      </c>
      <c r="I34" s="37"/>
      <c r="J34" s="37"/>
      <c r="K34" s="37"/>
      <c r="L34" s="14">
        <v>10.552</v>
      </c>
      <c r="M34" s="14">
        <v>55249</v>
      </c>
      <c r="N34" s="15">
        <f t="shared" si="3"/>
        <v>5235.8794541319185</v>
      </c>
      <c r="O34" s="11" t="s">
        <v>13</v>
      </c>
      <c r="P34" s="36"/>
      <c r="Q34" s="36"/>
      <c r="R34" s="36"/>
      <c r="S34" s="14">
        <v>8.3288800000000016</v>
      </c>
      <c r="T34" s="14">
        <v>61050.82</v>
      </c>
      <c r="U34" s="15">
        <f t="shared" si="4"/>
        <v>7330.0155603154308</v>
      </c>
      <c r="V34" s="11" t="s">
        <v>13</v>
      </c>
      <c r="W34" s="36"/>
      <c r="X34" s="39"/>
      <c r="Y34" s="39"/>
      <c r="Z34" s="21">
        <v>9.8439999999999994</v>
      </c>
      <c r="AA34" s="22">
        <v>60038</v>
      </c>
      <c r="AB34" s="15">
        <f t="shared" si="2"/>
        <v>6098.9435188947582</v>
      </c>
    </row>
    <row r="35" spans="1:28" s="16" customFormat="1" x14ac:dyDescent="0.25">
      <c r="A35" s="11" t="s">
        <v>14</v>
      </c>
      <c r="B35" s="35">
        <f>9.587</f>
        <v>9.5869999999999997</v>
      </c>
      <c r="C35" s="35">
        <v>64961</v>
      </c>
      <c r="D35" s="35">
        <f>C35/B35</f>
        <v>6775.9465943465111</v>
      </c>
      <c r="E35" s="14">
        <v>3.363</v>
      </c>
      <c r="F35" s="14">
        <v>31998</v>
      </c>
      <c r="G35" s="15">
        <f t="shared" si="1"/>
        <v>9514.7190008920606</v>
      </c>
      <c r="H35" s="11" t="s">
        <v>14</v>
      </c>
      <c r="I35" s="35">
        <v>18.22</v>
      </c>
      <c r="J35" s="35">
        <f>124208</f>
        <v>124208</v>
      </c>
      <c r="K35" s="35">
        <f t="shared" ref="K35:K47" si="5">J35/I35</f>
        <v>6817.1240395170144</v>
      </c>
      <c r="L35" s="14">
        <v>3.4660000000000002</v>
      </c>
      <c r="M35" s="14">
        <v>40040</v>
      </c>
      <c r="N35" s="15">
        <f t="shared" si="3"/>
        <v>11552.221581073283</v>
      </c>
      <c r="O35" s="11" t="s">
        <v>14</v>
      </c>
      <c r="P35" s="36"/>
      <c r="Q35" s="36"/>
      <c r="R35" s="36"/>
      <c r="S35" s="14">
        <v>2.9523600000000001</v>
      </c>
      <c r="T35" s="14">
        <v>50568</v>
      </c>
      <c r="U35" s="15">
        <f t="shared" si="4"/>
        <v>17127.992521237247</v>
      </c>
      <c r="V35" s="11" t="s">
        <v>14</v>
      </c>
      <c r="W35" s="36"/>
      <c r="X35" s="39"/>
      <c r="Y35" s="39"/>
      <c r="Z35" s="21">
        <v>6.1159999999999997</v>
      </c>
      <c r="AA35" s="22">
        <v>52037</v>
      </c>
      <c r="AB35" s="15">
        <f t="shared" si="2"/>
        <v>8508.3387835186404</v>
      </c>
    </row>
    <row r="36" spans="1:28" s="16" customFormat="1" x14ac:dyDescent="0.25">
      <c r="A36" s="11" t="s">
        <v>15</v>
      </c>
      <c r="B36" s="36"/>
      <c r="C36" s="36"/>
      <c r="D36" s="36"/>
      <c r="E36" s="27" t="s">
        <v>35</v>
      </c>
      <c r="F36" s="27" t="s">
        <v>35</v>
      </c>
      <c r="G36" s="28" t="s">
        <v>35</v>
      </c>
      <c r="H36" s="11" t="s">
        <v>15</v>
      </c>
      <c r="I36" s="36"/>
      <c r="J36" s="36"/>
      <c r="K36" s="36"/>
      <c r="L36" s="27" t="s">
        <v>35</v>
      </c>
      <c r="M36" s="27" t="s">
        <v>35</v>
      </c>
      <c r="N36" s="28" t="s">
        <v>35</v>
      </c>
      <c r="O36" s="11" t="s">
        <v>15</v>
      </c>
      <c r="P36" s="37"/>
      <c r="Q36" s="37"/>
      <c r="R36" s="37"/>
      <c r="S36" s="27" t="s">
        <v>35</v>
      </c>
      <c r="T36" s="27" t="s">
        <v>35</v>
      </c>
      <c r="U36" s="28" t="s">
        <v>35</v>
      </c>
      <c r="V36" s="11" t="s">
        <v>15</v>
      </c>
      <c r="W36" s="36"/>
      <c r="X36" s="39"/>
      <c r="Y36" s="39"/>
      <c r="Z36" s="21">
        <v>4.5940000000000003</v>
      </c>
      <c r="AA36" s="22">
        <v>8964</v>
      </c>
      <c r="AB36" s="15">
        <f t="shared" si="2"/>
        <v>1951.2407488027861</v>
      </c>
    </row>
    <row r="37" spans="1:28" s="16" customFormat="1" x14ac:dyDescent="0.25">
      <c r="A37" s="11" t="s">
        <v>16</v>
      </c>
      <c r="B37" s="36"/>
      <c r="C37" s="36"/>
      <c r="D37" s="36"/>
      <c r="E37" s="27" t="s">
        <v>35</v>
      </c>
      <c r="F37" s="27" t="s">
        <v>35</v>
      </c>
      <c r="G37" s="28" t="s">
        <v>35</v>
      </c>
      <c r="H37" s="11" t="s">
        <v>16</v>
      </c>
      <c r="I37" s="36"/>
      <c r="J37" s="36"/>
      <c r="K37" s="36"/>
      <c r="L37" s="27" t="s">
        <v>35</v>
      </c>
      <c r="M37" s="27" t="s">
        <v>35</v>
      </c>
      <c r="N37" s="28" t="s">
        <v>35</v>
      </c>
      <c r="O37" s="11" t="s">
        <v>16</v>
      </c>
      <c r="P37" s="42">
        <f>0.7+4.497+10.959</f>
        <v>16.155999999999999</v>
      </c>
      <c r="Q37" s="35">
        <f>8228+29040+71839</f>
        <v>109107</v>
      </c>
      <c r="R37" s="35">
        <f>Q37/P37</f>
        <v>6753.3424114879926</v>
      </c>
      <c r="S37" s="27" t="s">
        <v>35</v>
      </c>
      <c r="T37" s="27" t="s">
        <v>35</v>
      </c>
      <c r="U37" s="28" t="s">
        <v>35</v>
      </c>
      <c r="V37" s="11" t="s">
        <v>16</v>
      </c>
      <c r="W37" s="36"/>
      <c r="X37" s="39"/>
      <c r="Y37" s="39"/>
      <c r="Z37" s="21">
        <v>3.2</v>
      </c>
      <c r="AA37" s="22">
        <v>6880</v>
      </c>
      <c r="AB37" s="15">
        <f t="shared" si="2"/>
        <v>2150</v>
      </c>
    </row>
    <row r="38" spans="1:28" s="16" customFormat="1" x14ac:dyDescent="0.25">
      <c r="A38" s="11" t="s">
        <v>17</v>
      </c>
      <c r="B38" s="36"/>
      <c r="C38" s="36"/>
      <c r="D38" s="36"/>
      <c r="E38" s="27" t="s">
        <v>35</v>
      </c>
      <c r="F38" s="27" t="s">
        <v>35</v>
      </c>
      <c r="G38" s="28" t="s">
        <v>35</v>
      </c>
      <c r="H38" s="11" t="s">
        <v>17</v>
      </c>
      <c r="I38" s="36"/>
      <c r="J38" s="36"/>
      <c r="K38" s="36"/>
      <c r="L38" s="27" t="s">
        <v>35</v>
      </c>
      <c r="M38" s="27" t="s">
        <v>35</v>
      </c>
      <c r="N38" s="28" t="s">
        <v>35</v>
      </c>
      <c r="O38" s="11" t="s">
        <v>17</v>
      </c>
      <c r="P38" s="43"/>
      <c r="Q38" s="36"/>
      <c r="R38" s="36"/>
      <c r="S38" s="27" t="s">
        <v>35</v>
      </c>
      <c r="T38" s="27" t="s">
        <v>35</v>
      </c>
      <c r="U38" s="28" t="s">
        <v>35</v>
      </c>
      <c r="V38" s="11" t="s">
        <v>17</v>
      </c>
      <c r="W38" s="37"/>
      <c r="X38" s="40"/>
      <c r="Y38" s="40"/>
      <c r="Z38" s="21">
        <v>4.1470000000000002</v>
      </c>
      <c r="AA38" s="22">
        <v>8900</v>
      </c>
      <c r="AB38" s="15">
        <f t="shared" si="2"/>
        <v>2146.1297323366289</v>
      </c>
    </row>
    <row r="39" spans="1:28" s="16" customFormat="1" x14ac:dyDescent="0.25">
      <c r="A39" s="11" t="s">
        <v>18</v>
      </c>
      <c r="B39" s="36"/>
      <c r="C39" s="36"/>
      <c r="D39" s="36"/>
      <c r="E39" s="27" t="s">
        <v>35</v>
      </c>
      <c r="F39" s="27" t="s">
        <v>35</v>
      </c>
      <c r="G39" s="28" t="s">
        <v>35</v>
      </c>
      <c r="H39" s="11" t="s">
        <v>18</v>
      </c>
      <c r="I39" s="36"/>
      <c r="J39" s="36"/>
      <c r="K39" s="36"/>
      <c r="L39" s="27" t="s">
        <v>35</v>
      </c>
      <c r="M39" s="27" t="s">
        <v>35</v>
      </c>
      <c r="N39" s="28" t="s">
        <v>35</v>
      </c>
      <c r="O39" s="11" t="s">
        <v>18</v>
      </c>
      <c r="P39" s="43"/>
      <c r="Q39" s="36"/>
      <c r="R39" s="36"/>
      <c r="S39" s="27" t="s">
        <v>35</v>
      </c>
      <c r="T39" s="27" t="s">
        <v>35</v>
      </c>
      <c r="U39" s="28" t="s">
        <v>35</v>
      </c>
      <c r="V39" s="11" t="s">
        <v>18</v>
      </c>
      <c r="W39" s="35">
        <v>6.3570000000000002</v>
      </c>
      <c r="X39" s="38" t="s">
        <v>35</v>
      </c>
      <c r="Y39" s="38" t="s">
        <v>35</v>
      </c>
      <c r="Z39" s="21">
        <v>4.2549999999999999</v>
      </c>
      <c r="AA39" s="22">
        <v>9133</v>
      </c>
      <c r="AB39" s="15">
        <f t="shared" si="2"/>
        <v>2146.4159811985901</v>
      </c>
    </row>
    <row r="40" spans="1:28" s="16" customFormat="1" x14ac:dyDescent="0.25">
      <c r="A40" s="11" t="s">
        <v>19</v>
      </c>
      <c r="B40" s="36"/>
      <c r="C40" s="36"/>
      <c r="D40" s="36"/>
      <c r="E40" s="14">
        <v>2.3380000000000001</v>
      </c>
      <c r="F40" s="14">
        <v>29798</v>
      </c>
      <c r="G40" s="15">
        <f t="shared" si="1"/>
        <v>12745.081266039349</v>
      </c>
      <c r="H40" s="11" t="s">
        <v>19</v>
      </c>
      <c r="I40" s="36"/>
      <c r="J40" s="36"/>
      <c r="K40" s="36"/>
      <c r="L40" s="14">
        <v>2.855</v>
      </c>
      <c r="M40" s="14">
        <v>38728</v>
      </c>
      <c r="N40" s="15">
        <f t="shared" si="3"/>
        <v>13564.973730297723</v>
      </c>
      <c r="O40" s="11" t="s">
        <v>19</v>
      </c>
      <c r="P40" s="43"/>
      <c r="Q40" s="36"/>
      <c r="R40" s="36"/>
      <c r="S40" s="14">
        <v>5.1513400000000011</v>
      </c>
      <c r="T40" s="14">
        <v>54855</v>
      </c>
      <c r="U40" s="15">
        <f t="shared" si="4"/>
        <v>10648.685584721643</v>
      </c>
      <c r="V40" s="11" t="s">
        <v>19</v>
      </c>
      <c r="W40" s="36"/>
      <c r="X40" s="39"/>
      <c r="Y40" s="39"/>
      <c r="Z40" s="21">
        <v>7.3</v>
      </c>
      <c r="AA40" s="22">
        <v>54577</v>
      </c>
      <c r="AB40" s="15">
        <f t="shared" si="2"/>
        <v>7476.3013698630139</v>
      </c>
    </row>
    <row r="41" spans="1:28" s="16" customFormat="1" x14ac:dyDescent="0.25">
      <c r="A41" s="11" t="s">
        <v>20</v>
      </c>
      <c r="B41" s="36"/>
      <c r="C41" s="36"/>
      <c r="D41" s="36"/>
      <c r="E41" s="14">
        <v>11.669</v>
      </c>
      <c r="F41" s="14">
        <v>49824</v>
      </c>
      <c r="G41" s="15">
        <f>F41/E41</f>
        <v>4269.7746165052704</v>
      </c>
      <c r="H41" s="11" t="s">
        <v>20</v>
      </c>
      <c r="I41" s="36"/>
      <c r="J41" s="36"/>
      <c r="K41" s="36"/>
      <c r="L41" s="14">
        <v>14.821999999999999</v>
      </c>
      <c r="M41" s="14">
        <v>64412</v>
      </c>
      <c r="N41" s="15">
        <f t="shared" si="3"/>
        <v>4345.702334367832</v>
      </c>
      <c r="O41" s="11" t="s">
        <v>20</v>
      </c>
      <c r="P41" s="43"/>
      <c r="Q41" s="36"/>
      <c r="R41" s="36"/>
      <c r="S41" s="14">
        <v>12.351540000000002</v>
      </c>
      <c r="T41" s="14">
        <v>68893.56</v>
      </c>
      <c r="U41" s="15">
        <f t="shared" si="4"/>
        <v>5577.7303882754695</v>
      </c>
      <c r="V41" s="11" t="s">
        <v>20</v>
      </c>
      <c r="W41" s="36"/>
      <c r="X41" s="39"/>
      <c r="Y41" s="39"/>
      <c r="Z41" s="21">
        <v>14.269</v>
      </c>
      <c r="AA41" s="22">
        <f>69535</f>
        <v>69535</v>
      </c>
      <c r="AB41" s="15">
        <f t="shared" si="2"/>
        <v>4873.151587357208</v>
      </c>
    </row>
    <row r="42" spans="1:28" s="16" customFormat="1" x14ac:dyDescent="0.25">
      <c r="A42" s="11" t="s">
        <v>21</v>
      </c>
      <c r="B42" s="37"/>
      <c r="C42" s="37"/>
      <c r="D42" s="37"/>
      <c r="E42" s="14">
        <v>14.247</v>
      </c>
      <c r="F42" s="14">
        <v>55357</v>
      </c>
      <c r="G42" s="15">
        <f t="shared" ref="G42:G54" si="6">F42/E42</f>
        <v>3885.519758545659</v>
      </c>
      <c r="H42" s="11" t="s">
        <v>21</v>
      </c>
      <c r="I42" s="37"/>
      <c r="J42" s="37"/>
      <c r="K42" s="37"/>
      <c r="L42" s="14">
        <v>18.652000000000001</v>
      </c>
      <c r="M42" s="14">
        <v>72634</v>
      </c>
      <c r="N42" s="15">
        <f t="shared" si="3"/>
        <v>3894.1668453785114</v>
      </c>
      <c r="O42" s="11" t="s">
        <v>21</v>
      </c>
      <c r="P42" s="45"/>
      <c r="Q42" s="37"/>
      <c r="R42" s="37"/>
      <c r="S42" s="14">
        <v>15.673640000000002</v>
      </c>
      <c r="T42" s="14">
        <v>75370.460000000006</v>
      </c>
      <c r="U42" s="15">
        <f t="shared" si="4"/>
        <v>4808.7400246528559</v>
      </c>
      <c r="V42" s="11" t="s">
        <v>21</v>
      </c>
      <c r="W42" s="37"/>
      <c r="X42" s="40"/>
      <c r="Y42" s="40"/>
      <c r="Z42" s="21">
        <f>17.411</f>
        <v>17.411000000000001</v>
      </c>
      <c r="AA42" s="22">
        <f>76279</f>
        <v>76279</v>
      </c>
      <c r="AB42" s="15">
        <f t="shared" si="2"/>
        <v>4381.0809258514728</v>
      </c>
    </row>
    <row r="43" spans="1:28" s="16" customFormat="1" x14ac:dyDescent="0.25">
      <c r="A43" s="11" t="s">
        <v>22</v>
      </c>
      <c r="B43" s="35">
        <f>5.66</f>
        <v>5.66</v>
      </c>
      <c r="C43" s="35">
        <f>52613</f>
        <v>52613</v>
      </c>
      <c r="D43" s="35">
        <f>C43/B43</f>
        <v>9295.5830388692575</v>
      </c>
      <c r="E43" s="14">
        <v>18.707999999999998</v>
      </c>
      <c r="F43" s="14">
        <v>68577</v>
      </c>
      <c r="G43" s="15">
        <f t="shared" si="6"/>
        <v>3665.6510583707509</v>
      </c>
      <c r="H43" s="11" t="s">
        <v>22</v>
      </c>
      <c r="I43" s="35">
        <f>7.301+4.201+5.897</f>
        <v>17.399000000000001</v>
      </c>
      <c r="J43" s="35">
        <f>64127+40206+52245</f>
        <v>156578</v>
      </c>
      <c r="K43" s="35">
        <f t="shared" si="5"/>
        <v>8999.2528306224485</v>
      </c>
      <c r="L43" s="14">
        <v>23.411000000000001</v>
      </c>
      <c r="M43" s="14">
        <v>87712</v>
      </c>
      <c r="N43" s="15">
        <f t="shared" si="3"/>
        <v>3746.6148391781639</v>
      </c>
      <c r="O43" s="11" t="s">
        <v>22</v>
      </c>
      <c r="P43" s="35">
        <f>8.679+4.063+0.62</f>
        <v>13.362</v>
      </c>
      <c r="Q43" s="35">
        <f>77877+35811+8814</f>
        <v>122502</v>
      </c>
      <c r="R43" s="35">
        <f>Q43/P43</f>
        <v>9167.9389312977091</v>
      </c>
      <c r="S43" s="14">
        <v>18.898440000000004</v>
      </c>
      <c r="T43" s="14">
        <v>87619.89</v>
      </c>
      <c r="U43" s="15">
        <f t="shared" si="4"/>
        <v>4636.3556992005679</v>
      </c>
      <c r="V43" s="11" t="s">
        <v>22</v>
      </c>
      <c r="W43" s="35">
        <v>12.349</v>
      </c>
      <c r="X43" s="38" t="s">
        <v>35</v>
      </c>
      <c r="Y43" s="38" t="s">
        <v>35</v>
      </c>
      <c r="Z43" s="21">
        <v>20.9</v>
      </c>
      <c r="AA43" s="22">
        <v>89981</v>
      </c>
      <c r="AB43" s="15">
        <f t="shared" si="2"/>
        <v>4305.3110047846894</v>
      </c>
    </row>
    <row r="44" spans="1:28" s="16" customFormat="1" x14ac:dyDescent="0.25">
      <c r="A44" s="11" t="s">
        <v>23</v>
      </c>
      <c r="B44" s="36"/>
      <c r="C44" s="36"/>
      <c r="D44" s="36"/>
      <c r="E44" s="14">
        <v>12.044</v>
      </c>
      <c r="F44" s="14">
        <v>54659</v>
      </c>
      <c r="G44" s="15">
        <f t="shared" si="6"/>
        <v>4538.2763201594153</v>
      </c>
      <c r="H44" s="11" t="s">
        <v>23</v>
      </c>
      <c r="I44" s="36"/>
      <c r="J44" s="36"/>
      <c r="K44" s="36"/>
      <c r="L44" s="14">
        <v>13.983000000000001</v>
      </c>
      <c r="M44" s="14">
        <v>68022</v>
      </c>
      <c r="N44" s="15">
        <f t="shared" si="3"/>
        <v>4864.6213258957305</v>
      </c>
      <c r="O44" s="11" t="s">
        <v>23</v>
      </c>
      <c r="P44" s="36"/>
      <c r="Q44" s="36"/>
      <c r="R44" s="36"/>
      <c r="S44" s="14">
        <v>11.42024</v>
      </c>
      <c r="T44" s="14">
        <v>73685.69</v>
      </c>
      <c r="U44" s="15">
        <f t="shared" si="4"/>
        <v>6452.201529915309</v>
      </c>
      <c r="V44" s="11" t="s">
        <v>23</v>
      </c>
      <c r="W44" s="36"/>
      <c r="X44" s="39"/>
      <c r="Y44" s="39"/>
      <c r="Z44" s="21">
        <v>14.502000000000001</v>
      </c>
      <c r="AA44" s="22">
        <v>76620</v>
      </c>
      <c r="AB44" s="15">
        <f t="shared" si="2"/>
        <v>5283.4091849400083</v>
      </c>
    </row>
    <row r="45" spans="1:28" s="16" customFormat="1" x14ac:dyDescent="0.25">
      <c r="A45" s="11" t="s">
        <v>24</v>
      </c>
      <c r="B45" s="36"/>
      <c r="C45" s="36"/>
      <c r="D45" s="36"/>
      <c r="E45" s="14">
        <v>9.7100000000000009</v>
      </c>
      <c r="F45" s="14">
        <v>49780</v>
      </c>
      <c r="G45" s="15">
        <f t="shared" si="6"/>
        <v>5126.6735324407819</v>
      </c>
      <c r="H45" s="11" t="s">
        <v>24</v>
      </c>
      <c r="I45" s="36"/>
      <c r="J45" s="36"/>
      <c r="K45" s="36"/>
      <c r="L45" s="14">
        <v>12.8</v>
      </c>
      <c r="M45" s="14">
        <v>65550</v>
      </c>
      <c r="N45" s="15">
        <f t="shared" si="3"/>
        <v>5121.09375</v>
      </c>
      <c r="O45" s="11" t="s">
        <v>24</v>
      </c>
      <c r="P45" s="36"/>
      <c r="Q45" s="36"/>
      <c r="R45" s="36"/>
      <c r="S45" s="14">
        <v>9.3018800000000006</v>
      </c>
      <c r="T45" s="14">
        <v>69738.53</v>
      </c>
      <c r="U45" s="15">
        <f>T45/S45</f>
        <v>7497.2510933273697</v>
      </c>
      <c r="V45" s="11" t="s">
        <v>24</v>
      </c>
      <c r="W45" s="36"/>
      <c r="X45" s="39"/>
      <c r="Y45" s="39"/>
      <c r="Z45" s="21">
        <v>12.925000000000001</v>
      </c>
      <c r="AA45" s="22">
        <v>73324</v>
      </c>
      <c r="AB45" s="15">
        <f t="shared" si="2"/>
        <v>5673.0367504835585</v>
      </c>
    </row>
    <row r="46" spans="1:28" s="16" customFormat="1" x14ac:dyDescent="0.25">
      <c r="A46" s="11" t="s">
        <v>25</v>
      </c>
      <c r="B46" s="37"/>
      <c r="C46" s="37"/>
      <c r="D46" s="37"/>
      <c r="E46" s="14">
        <v>6.43</v>
      </c>
      <c r="F46" s="14">
        <v>43934</v>
      </c>
      <c r="G46" s="15">
        <f t="shared" si="6"/>
        <v>6832.6594090202179</v>
      </c>
      <c r="H46" s="11" t="s">
        <v>25</v>
      </c>
      <c r="I46" s="37"/>
      <c r="J46" s="37"/>
      <c r="K46" s="37"/>
      <c r="L46" s="14">
        <v>7.8109999999999999</v>
      </c>
      <c r="M46" s="14">
        <v>55131</v>
      </c>
      <c r="N46" s="15">
        <f t="shared" si="3"/>
        <v>7058.1231596466523</v>
      </c>
      <c r="O46" s="11" t="s">
        <v>25</v>
      </c>
      <c r="P46" s="36"/>
      <c r="Q46" s="36"/>
      <c r="R46" s="36"/>
      <c r="S46" s="14">
        <v>5.96</v>
      </c>
      <c r="T46" s="14">
        <v>63522</v>
      </c>
      <c r="U46" s="15">
        <f t="shared" si="4"/>
        <v>10658.053691275169</v>
      </c>
      <c r="V46" s="11" t="s">
        <v>25</v>
      </c>
      <c r="W46" s="36"/>
      <c r="X46" s="39"/>
      <c r="Y46" s="39"/>
      <c r="Z46" s="21">
        <v>9.0719999999999992</v>
      </c>
      <c r="AA46" s="22">
        <v>65277</v>
      </c>
      <c r="AB46" s="15">
        <f t="shared" si="2"/>
        <v>7195.4365079365089</v>
      </c>
    </row>
    <row r="47" spans="1:28" s="16" customFormat="1" x14ac:dyDescent="0.25">
      <c r="A47" s="11" t="s">
        <v>26</v>
      </c>
      <c r="B47" s="35">
        <f>9.357</f>
        <v>9.3569999999999993</v>
      </c>
      <c r="C47" s="35">
        <f>87036</f>
        <v>87036</v>
      </c>
      <c r="D47" s="35">
        <f>C47/B47</f>
        <v>9301.6992625841631</v>
      </c>
      <c r="E47" s="14">
        <v>1.4690000000000001</v>
      </c>
      <c r="F47" s="14">
        <v>32573</v>
      </c>
      <c r="G47" s="15">
        <f t="shared" si="6"/>
        <v>22173.587474472428</v>
      </c>
      <c r="H47" s="11" t="s">
        <v>26</v>
      </c>
      <c r="I47" s="35">
        <f>10.571+7.628+5.303</f>
        <v>23.501999999999999</v>
      </c>
      <c r="J47" s="35">
        <f>93425+68518+52726</f>
        <v>214669</v>
      </c>
      <c r="K47" s="35">
        <f t="shared" si="5"/>
        <v>9134.0736958556718</v>
      </c>
      <c r="L47" s="14">
        <v>1.927</v>
      </c>
      <c r="M47" s="14">
        <v>42843</v>
      </c>
      <c r="N47" s="15">
        <f t="shared" si="3"/>
        <v>22233.004670472237</v>
      </c>
      <c r="O47" s="11" t="s">
        <v>26</v>
      </c>
      <c r="P47" s="36"/>
      <c r="Q47" s="36"/>
      <c r="R47" s="36"/>
      <c r="S47" s="14">
        <v>1.86</v>
      </c>
      <c r="T47" s="14">
        <v>55882</v>
      </c>
      <c r="U47" s="15">
        <f t="shared" si="4"/>
        <v>30044.086021505376</v>
      </c>
      <c r="V47" s="11" t="s">
        <v>26</v>
      </c>
      <c r="W47" s="36"/>
      <c r="X47" s="39"/>
      <c r="Y47" s="39"/>
      <c r="Z47" s="21">
        <v>5.7160000000000002</v>
      </c>
      <c r="AA47" s="22">
        <v>58269</v>
      </c>
      <c r="AB47" s="15">
        <f t="shared" si="2"/>
        <v>10194.016794961512</v>
      </c>
    </row>
    <row r="48" spans="1:28" s="16" customFormat="1" x14ac:dyDescent="0.25">
      <c r="A48" s="11" t="s">
        <v>27</v>
      </c>
      <c r="B48" s="36"/>
      <c r="C48" s="36"/>
      <c r="D48" s="36"/>
      <c r="E48" s="27" t="s">
        <v>35</v>
      </c>
      <c r="F48" s="27" t="s">
        <v>35</v>
      </c>
      <c r="G48" s="28" t="s">
        <v>35</v>
      </c>
      <c r="H48" s="11" t="s">
        <v>27</v>
      </c>
      <c r="I48" s="36"/>
      <c r="J48" s="36"/>
      <c r="K48" s="36"/>
      <c r="L48" s="27" t="s">
        <v>35</v>
      </c>
      <c r="M48" s="27" t="s">
        <v>35</v>
      </c>
      <c r="N48" s="28" t="s">
        <v>35</v>
      </c>
      <c r="O48" s="11" t="s">
        <v>27</v>
      </c>
      <c r="P48" s="37"/>
      <c r="Q48" s="37"/>
      <c r="R48" s="37"/>
      <c r="S48" s="27" t="s">
        <v>35</v>
      </c>
      <c r="T48" s="27" t="s">
        <v>35</v>
      </c>
      <c r="U48" s="28" t="s">
        <v>35</v>
      </c>
      <c r="V48" s="11" t="s">
        <v>27</v>
      </c>
      <c r="W48" s="36"/>
      <c r="X48" s="39"/>
      <c r="Y48" s="39"/>
      <c r="Z48" s="21">
        <v>4.6859999999999999</v>
      </c>
      <c r="AA48" s="22">
        <v>9787</v>
      </c>
      <c r="AB48" s="15">
        <f t="shared" si="2"/>
        <v>2088.5616730687152</v>
      </c>
    </row>
    <row r="49" spans="1:28" s="16" customFormat="1" x14ac:dyDescent="0.25">
      <c r="A49" s="11" t="s">
        <v>28</v>
      </c>
      <c r="B49" s="36"/>
      <c r="C49" s="36"/>
      <c r="D49" s="36"/>
      <c r="E49" s="27" t="s">
        <v>35</v>
      </c>
      <c r="F49" s="27" t="s">
        <v>35</v>
      </c>
      <c r="G49" s="28" t="s">
        <v>35</v>
      </c>
      <c r="H49" s="11" t="s">
        <v>28</v>
      </c>
      <c r="I49" s="36"/>
      <c r="J49" s="36"/>
      <c r="K49" s="36"/>
      <c r="L49" s="27" t="s">
        <v>35</v>
      </c>
      <c r="M49" s="27" t="s">
        <v>35</v>
      </c>
      <c r="N49" s="28" t="s">
        <v>35</v>
      </c>
      <c r="O49" s="11" t="s">
        <v>28</v>
      </c>
      <c r="P49" s="42">
        <f>0.6525+12.045+5.853</f>
        <v>18.5505</v>
      </c>
      <c r="Q49" s="42">
        <f>9187+108080+51558</f>
        <v>168825</v>
      </c>
      <c r="R49" s="35">
        <f>Q49/P49</f>
        <v>9100.8328616479339</v>
      </c>
      <c r="S49" s="27" t="s">
        <v>35</v>
      </c>
      <c r="T49" s="27" t="s">
        <v>35</v>
      </c>
      <c r="U49" s="28" t="s">
        <v>35</v>
      </c>
      <c r="V49" s="11" t="s">
        <v>28</v>
      </c>
      <c r="W49" s="36"/>
      <c r="X49" s="39"/>
      <c r="Y49" s="39"/>
      <c r="Z49" s="21">
        <v>3.444</v>
      </c>
      <c r="AA49" s="22">
        <v>7193</v>
      </c>
      <c r="AB49" s="15">
        <f t="shared" si="2"/>
        <v>2088.5598141695705</v>
      </c>
    </row>
    <row r="50" spans="1:28" s="16" customFormat="1" x14ac:dyDescent="0.25">
      <c r="A50" s="11" t="s">
        <v>29</v>
      </c>
      <c r="B50" s="36"/>
      <c r="C50" s="36"/>
      <c r="D50" s="36"/>
      <c r="E50" s="27" t="s">
        <v>35</v>
      </c>
      <c r="F50" s="27" t="s">
        <v>35</v>
      </c>
      <c r="G50" s="28" t="s">
        <v>35</v>
      </c>
      <c r="H50" s="11" t="s">
        <v>29</v>
      </c>
      <c r="I50" s="36"/>
      <c r="J50" s="36"/>
      <c r="K50" s="36"/>
      <c r="L50" s="27" t="s">
        <v>35</v>
      </c>
      <c r="M50" s="27" t="s">
        <v>35</v>
      </c>
      <c r="N50" s="28" t="s">
        <v>35</v>
      </c>
      <c r="O50" s="11" t="s">
        <v>29</v>
      </c>
      <c r="P50" s="43"/>
      <c r="Q50" s="43"/>
      <c r="R50" s="36"/>
      <c r="S50" s="27" t="s">
        <v>35</v>
      </c>
      <c r="T50" s="27" t="s">
        <v>35</v>
      </c>
      <c r="U50" s="28" t="s">
        <v>35</v>
      </c>
      <c r="V50" s="11" t="s">
        <v>29</v>
      </c>
      <c r="W50" s="37"/>
      <c r="X50" s="40"/>
      <c r="Y50" s="40"/>
      <c r="Z50" s="21">
        <v>4.28</v>
      </c>
      <c r="AA50" s="22">
        <v>8940</v>
      </c>
      <c r="AB50" s="15">
        <f t="shared" si="2"/>
        <v>2088.7850467289718</v>
      </c>
    </row>
    <row r="51" spans="1:28" s="16" customFormat="1" x14ac:dyDescent="0.25">
      <c r="A51" s="11" t="s">
        <v>30</v>
      </c>
      <c r="B51" s="36"/>
      <c r="C51" s="36"/>
      <c r="D51" s="36"/>
      <c r="E51" s="14">
        <v>2.1749999999999998</v>
      </c>
      <c r="F51" s="14">
        <v>4542</v>
      </c>
      <c r="G51" s="15">
        <f t="shared" si="6"/>
        <v>2088.2758620689656</v>
      </c>
      <c r="H51" s="11" t="s">
        <v>30</v>
      </c>
      <c r="I51" s="36"/>
      <c r="J51" s="36"/>
      <c r="K51" s="36"/>
      <c r="L51" s="14">
        <v>2.5750000000000002</v>
      </c>
      <c r="M51" s="14">
        <v>5378</v>
      </c>
      <c r="N51" s="15">
        <f t="shared" si="3"/>
        <v>2088.5436893203882</v>
      </c>
      <c r="O51" s="11" t="s">
        <v>30</v>
      </c>
      <c r="P51" s="43"/>
      <c r="Q51" s="43"/>
      <c r="R51" s="36"/>
      <c r="S51" s="14">
        <v>1.96</v>
      </c>
      <c r="T51" s="14">
        <v>3662</v>
      </c>
      <c r="U51" s="15">
        <f t="shared" si="4"/>
        <v>1868.3673469387757</v>
      </c>
      <c r="V51" s="11" t="s">
        <v>30</v>
      </c>
      <c r="W51" s="35">
        <f>6.7</f>
        <v>6.7</v>
      </c>
      <c r="X51" s="35">
        <f>60229</f>
        <v>60229</v>
      </c>
      <c r="Y51" s="35">
        <f>X51/W51</f>
        <v>8989.4029850746265</v>
      </c>
      <c r="Z51" s="21">
        <v>5.6020000000000003</v>
      </c>
      <c r="AA51" s="22">
        <v>11701</v>
      </c>
      <c r="AB51" s="15">
        <f t="shared" si="2"/>
        <v>2088.7183148875401</v>
      </c>
    </row>
    <row r="52" spans="1:28" s="16" customFormat="1" x14ac:dyDescent="0.25">
      <c r="A52" s="11" t="s">
        <v>31</v>
      </c>
      <c r="B52" s="36"/>
      <c r="C52" s="36"/>
      <c r="D52" s="36"/>
      <c r="E52" s="14">
        <v>6.33</v>
      </c>
      <c r="F52" s="14">
        <v>42725</v>
      </c>
      <c r="G52" s="15">
        <f t="shared" si="6"/>
        <v>6749.6050552922588</v>
      </c>
      <c r="H52" s="11" t="s">
        <v>31</v>
      </c>
      <c r="I52" s="36"/>
      <c r="J52" s="36"/>
      <c r="K52" s="36"/>
      <c r="L52" s="14">
        <v>7.9969999999999999</v>
      </c>
      <c r="M52" s="14">
        <v>55519</v>
      </c>
      <c r="N52" s="15">
        <f t="shared" si="3"/>
        <v>6942.4784294110295</v>
      </c>
      <c r="O52" s="11" t="s">
        <v>31</v>
      </c>
      <c r="P52" s="43"/>
      <c r="Q52" s="43"/>
      <c r="R52" s="36"/>
      <c r="S52" s="14">
        <v>6.05</v>
      </c>
      <c r="T52" s="14">
        <v>63693</v>
      </c>
      <c r="U52" s="15">
        <f>T52/S52</f>
        <v>10527.768595041323</v>
      </c>
      <c r="V52" s="11" t="s">
        <v>31</v>
      </c>
      <c r="W52" s="36"/>
      <c r="X52" s="36"/>
      <c r="Y52" s="36"/>
      <c r="Z52" s="21">
        <v>8.7970000000000006</v>
      </c>
      <c r="AA52" s="22">
        <v>64703</v>
      </c>
      <c r="AB52" s="15">
        <f t="shared" si="2"/>
        <v>7355.1210639990904</v>
      </c>
    </row>
    <row r="53" spans="1:28" s="16" customFormat="1" x14ac:dyDescent="0.25">
      <c r="A53" s="11" t="s">
        <v>32</v>
      </c>
      <c r="B53" s="36"/>
      <c r="C53" s="36"/>
      <c r="D53" s="36"/>
      <c r="E53" s="14">
        <v>12.816000000000001</v>
      </c>
      <c r="F53" s="14">
        <v>56272</v>
      </c>
      <c r="G53" s="15">
        <f t="shared" si="6"/>
        <v>4390.7615480649183</v>
      </c>
      <c r="H53" s="11" t="s">
        <v>32</v>
      </c>
      <c r="I53" s="36"/>
      <c r="J53" s="36"/>
      <c r="K53" s="36"/>
      <c r="L53" s="14">
        <v>16.18</v>
      </c>
      <c r="M53" s="14">
        <v>72611</v>
      </c>
      <c r="N53" s="15">
        <f>M53/L53</f>
        <v>4487.7008652657605</v>
      </c>
      <c r="O53" s="11" t="s">
        <v>32</v>
      </c>
      <c r="P53" s="43"/>
      <c r="Q53" s="43"/>
      <c r="R53" s="36"/>
      <c r="S53" s="14">
        <v>13.22</v>
      </c>
      <c r="T53" s="14">
        <v>77057</v>
      </c>
      <c r="U53" s="15">
        <f t="shared" si="4"/>
        <v>5828.8199697428136</v>
      </c>
      <c r="V53" s="11" t="s">
        <v>32</v>
      </c>
      <c r="W53" s="36"/>
      <c r="X53" s="36"/>
      <c r="Y53" s="36"/>
      <c r="Z53" s="21">
        <v>16.369</v>
      </c>
      <c r="AA53" s="22">
        <v>80518</v>
      </c>
      <c r="AB53" s="15">
        <f t="shared" si="2"/>
        <v>4918.9321278025536</v>
      </c>
    </row>
    <row r="54" spans="1:28" s="16" customFormat="1" ht="15.75" thickBot="1" x14ac:dyDescent="0.3">
      <c r="A54" s="18" t="s">
        <v>33</v>
      </c>
      <c r="B54" s="41"/>
      <c r="C54" s="41"/>
      <c r="D54" s="41"/>
      <c r="E54" s="20">
        <v>16.038</v>
      </c>
      <c r="F54" s="20">
        <v>63002</v>
      </c>
      <c r="G54" s="23">
        <f t="shared" si="6"/>
        <v>3928.2952986656692</v>
      </c>
      <c r="H54" s="18" t="s">
        <v>33</v>
      </c>
      <c r="I54" s="41"/>
      <c r="J54" s="41"/>
      <c r="K54" s="41"/>
      <c r="L54" s="20">
        <v>19.786000000000001</v>
      </c>
      <c r="M54" s="20">
        <v>80141</v>
      </c>
      <c r="N54" s="23">
        <f t="shared" si="3"/>
        <v>4050.3891640553925</v>
      </c>
      <c r="O54" s="18" t="s">
        <v>33</v>
      </c>
      <c r="P54" s="44"/>
      <c r="Q54" s="44"/>
      <c r="R54" s="41"/>
      <c r="S54" s="20">
        <v>16.23</v>
      </c>
      <c r="T54" s="20">
        <v>82662</v>
      </c>
      <c r="U54" s="23">
        <f t="shared" si="4"/>
        <v>5093.1608133086875</v>
      </c>
      <c r="V54" s="18" t="s">
        <v>33</v>
      </c>
      <c r="W54" s="41"/>
      <c r="X54" s="41"/>
      <c r="Y54" s="41"/>
      <c r="Z54" s="24">
        <v>14.85</v>
      </c>
      <c r="AA54" s="25">
        <v>77345</v>
      </c>
      <c r="AB54" s="23">
        <f>AA54/Z54</f>
        <v>5208.4175084175085</v>
      </c>
    </row>
  </sheetData>
  <mergeCells count="98">
    <mergeCell ref="B21:B27"/>
    <mergeCell ref="C21:C27"/>
    <mergeCell ref="D21:D27"/>
    <mergeCell ref="B9:B15"/>
    <mergeCell ref="C9:C15"/>
    <mergeCell ref="C4:C8"/>
    <mergeCell ref="D9:D15"/>
    <mergeCell ref="B16:B20"/>
    <mergeCell ref="C16:C20"/>
    <mergeCell ref="D16:D20"/>
    <mergeCell ref="J4:J6"/>
    <mergeCell ref="K4:K6"/>
    <mergeCell ref="P2:R2"/>
    <mergeCell ref="D4:D8"/>
    <mergeCell ref="B2:D2"/>
    <mergeCell ref="E2:G2"/>
    <mergeCell ref="B4:B8"/>
    <mergeCell ref="P4:P8"/>
    <mergeCell ref="Q4:Q8"/>
    <mergeCell ref="R4:R8"/>
    <mergeCell ref="P9:P15"/>
    <mergeCell ref="Q9:Q15"/>
    <mergeCell ref="R9:R15"/>
    <mergeCell ref="P16:P20"/>
    <mergeCell ref="Q16:Q20"/>
    <mergeCell ref="R16:R20"/>
    <mergeCell ref="P21:P27"/>
    <mergeCell ref="Q21:Q27"/>
    <mergeCell ref="R21:R27"/>
    <mergeCell ref="A1:G1"/>
    <mergeCell ref="H1:N1"/>
    <mergeCell ref="O1:U1"/>
    <mergeCell ref="W2:Y2"/>
    <mergeCell ref="Z2:AB2"/>
    <mergeCell ref="V1:AB1"/>
    <mergeCell ref="S2:U2"/>
    <mergeCell ref="I2:K2"/>
    <mergeCell ref="L2:N2"/>
    <mergeCell ref="S29:U29"/>
    <mergeCell ref="W29:Y29"/>
    <mergeCell ref="Z29:AB29"/>
    <mergeCell ref="A28:G28"/>
    <mergeCell ref="H28:N28"/>
    <mergeCell ref="O28:U28"/>
    <mergeCell ref="V28:AB28"/>
    <mergeCell ref="B29:D29"/>
    <mergeCell ref="E29:G29"/>
    <mergeCell ref="I29:K29"/>
    <mergeCell ref="L29:N29"/>
    <mergeCell ref="P29:R29"/>
    <mergeCell ref="B31:B34"/>
    <mergeCell ref="C31:C34"/>
    <mergeCell ref="D31:D34"/>
    <mergeCell ref="B35:B42"/>
    <mergeCell ref="C35:C42"/>
    <mergeCell ref="D35:D42"/>
    <mergeCell ref="B43:B46"/>
    <mergeCell ref="C43:C46"/>
    <mergeCell ref="D43:D46"/>
    <mergeCell ref="B47:B54"/>
    <mergeCell ref="C47:C54"/>
    <mergeCell ref="D47:D54"/>
    <mergeCell ref="I31:I34"/>
    <mergeCell ref="J31:J34"/>
    <mergeCell ref="K31:K34"/>
    <mergeCell ref="I35:I42"/>
    <mergeCell ref="J35:J42"/>
    <mergeCell ref="K35:K42"/>
    <mergeCell ref="I43:I46"/>
    <mergeCell ref="J43:J46"/>
    <mergeCell ref="K43:K46"/>
    <mergeCell ref="I47:I54"/>
    <mergeCell ref="J47:J54"/>
    <mergeCell ref="K47:K54"/>
    <mergeCell ref="P31:P36"/>
    <mergeCell ref="Q31:Q36"/>
    <mergeCell ref="R31:R36"/>
    <mergeCell ref="P37:P42"/>
    <mergeCell ref="Q37:Q42"/>
    <mergeCell ref="R37:R42"/>
    <mergeCell ref="P43:P48"/>
    <mergeCell ref="Q43:Q48"/>
    <mergeCell ref="R43:R48"/>
    <mergeCell ref="P49:P54"/>
    <mergeCell ref="Q49:Q54"/>
    <mergeCell ref="R49:R54"/>
    <mergeCell ref="W31:W38"/>
    <mergeCell ref="X31:X38"/>
    <mergeCell ref="Y31:Y38"/>
    <mergeCell ref="W39:W42"/>
    <mergeCell ref="X39:X42"/>
    <mergeCell ref="Y39:Y42"/>
    <mergeCell ref="W43:W50"/>
    <mergeCell ref="X43:X50"/>
    <mergeCell ref="Y43:Y50"/>
    <mergeCell ref="W51:W54"/>
    <mergeCell ref="X51:X54"/>
    <mergeCell ref="Y51:Y54"/>
  </mergeCells>
  <phoneticPr fontId="2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Spotřeby 23-24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Kaňák, Libor</dc:creator>
  <cp:lastModifiedBy>GT Legal</cp:lastModifiedBy>
  <dcterms:created xsi:type="dcterms:W3CDTF">2024-11-19T09:25:25Z</dcterms:created>
  <dcterms:modified xsi:type="dcterms:W3CDTF">2025-04-15T12:06:46Z</dcterms:modified>
</cp:coreProperties>
</file>